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2"/>
  </bookViews>
  <sheets>
    <sheet name="для поселений" sheetId="1" r:id="rId1"/>
    <sheet name="Лист1" sheetId="2" r:id="rId2"/>
    <sheet name="коэфф.удорож." sheetId="3" r:id="rId3"/>
    <sheet name="индекс бюдж.расх." sheetId="4" r:id="rId4"/>
    <sheet name="1 вариант" sheetId="5" r:id="rId5"/>
  </sheets>
  <externalReferences>
    <externalReference r:id="rId8"/>
  </externalReferences>
  <definedNames>
    <definedName name="_xlnm.Print_Titles" localSheetId="4">'1 вариант'!$A:$A</definedName>
  </definedNames>
  <calcPr fullCalcOnLoad="1"/>
</workbook>
</file>

<file path=xl/sharedStrings.xml><?xml version="1.0" encoding="utf-8"?>
<sst xmlns="http://schemas.openxmlformats.org/spreadsheetml/2006/main" count="161" uniqueCount="79">
  <si>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</si>
  <si>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</si>
  <si>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</si>
  <si>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</si>
  <si>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Д (1) = гр.9*гр.10</t>
  </si>
  <si>
    <t>х</t>
  </si>
  <si>
    <t xml:space="preserve"> У1                             Первый критерий выравнивания                      (1мин +  мах) / 2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</si>
  <si>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</si>
  <si>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</si>
  <si>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</si>
  <si>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</si>
  <si>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Второй критерий выравнивания (У2=1)</t>
  </si>
  <si>
    <t>Объём РФФПП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</si>
  <si>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</si>
  <si>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</si>
  <si>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</si>
  <si>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Прогноз налоговых и неналоговых доходов поселений в очередном финансовом году (тыс.руб.)</t>
  </si>
  <si>
    <t>Степень сокращения отставания  П=0,30</t>
  </si>
  <si>
    <t>Наименование поселений</t>
  </si>
  <si>
    <t>Сумма дотации поселениям из областного бюджета (тыс.рублей)</t>
  </si>
  <si>
    <t>Итого</t>
  </si>
  <si>
    <t>Численность поселения, тыс.чел.</t>
  </si>
  <si>
    <t>Средняя численность населения муниципального района (гр.2/ число поселений)</t>
  </si>
  <si>
    <t>Коэффициент масштаба гр 4= (0,6*гр.2+0,4* гр.3)/ гр.2</t>
  </si>
  <si>
    <t>Удельный вес (гр.5/ гр.2)</t>
  </si>
  <si>
    <t>Всего по всем поселениям</t>
  </si>
  <si>
    <t>Коэффициент масштаба</t>
  </si>
  <si>
    <t>ИБР по аппарату (гр.4 по поселению / гр.4 всего)</t>
  </si>
  <si>
    <t>Численность населения, прожив. в насел. Пунктах менее 500 чел. (тыс.чел.)</t>
  </si>
  <si>
    <t xml:space="preserve">Коэффициент дисперсности   расселения   </t>
  </si>
  <si>
    <t>Коэффициент дисперсности расселения     гр.7 = 1+гр.6</t>
  </si>
  <si>
    <t>ПДпмр + Дотация 1 часть  (гр.15+ гр.16+ гр. 11)</t>
  </si>
  <si>
    <t xml:space="preserve">Налоговый потенциал (налоги, входящие в репрезентативную систему налогов), тыс.руб. </t>
  </si>
  <si>
    <t>Объём 1 части дотации необходимый для доведения до первого критерия  выравнивания (гр4общ*(гр8общ-гр7)*гр6*гр2)</t>
  </si>
  <si>
    <t>4 а</t>
  </si>
  <si>
    <t>Доходный потенциал поселений  (гр.15+ гр.16)</t>
  </si>
  <si>
    <t>Доходный потенциал на душу населения  (гр.4а / гр 2)</t>
  </si>
  <si>
    <t>4 б</t>
  </si>
  <si>
    <t>Индекс доходного потенциала  (гр.4б /гр.4бобщ)</t>
  </si>
  <si>
    <t>Субвенции  по расчету и предоставлению дотаций на выравнивание бюджетной обеспеченности бюджетам поселений , тыс.руб.</t>
  </si>
  <si>
    <t>Размер средств на реализацию государственных полномочий по расчёту и предоставлению дотаций, тыс.руб.</t>
  </si>
  <si>
    <t>Коэффициент (гр.5/гр. 2)</t>
  </si>
  <si>
    <t>Размер дотации (гр. 2* гр.6) тыс.руб.</t>
  </si>
  <si>
    <t>Доля расходов на аппарат в расходах, вошедших в репрезентативную систему (общая для всех поселений)</t>
  </si>
  <si>
    <t>Доля расходов на культуру  в расходах, вошедших в репрезентативную систему (общая для всех поселений)</t>
  </si>
  <si>
    <t>Субвенции бюджетам муниципальных районов Ульяновской области на осуществление государственных полномочий по расчёту и предоставлению дотаций поселениям (тыс.руб.)</t>
  </si>
  <si>
    <t>Дотации на выравнивание бюджетной обеспеченности из районных фондов финансовой поддержки поселений (тыс.руб.)</t>
  </si>
  <si>
    <t>Расходы на оплату коммунальных услуг, утверждённые на финансовый год (тыс.рублей)</t>
  </si>
  <si>
    <t>Коэффициент стоимости коммунальных услуг для бюджетных учреждений 9= (гр.8/гр.2)/(гр.8общ/гр.2общ)</t>
  </si>
  <si>
    <t>Создание условий для организации досуга и обеспечение жителей поселения услугами организаций культуры</t>
  </si>
  <si>
    <t>Формирование, утверждение, исполнение бюджетов поселений, входящих в состав МО "Старомайнский район", контроль за их исполнением</t>
  </si>
  <si>
    <t>Коэффициент стоимости коммунальных услуг</t>
  </si>
  <si>
    <t>ИБР по культуре (гр.8*гр.9*гр.10/ гр 8 всего*гр.всего9*гр10всего)</t>
  </si>
  <si>
    <t>ЖКХ</t>
  </si>
  <si>
    <t>Прочие</t>
  </si>
  <si>
    <t>ИБР по ЖКХ (гр.14*гр.15/ гр.14всего*гр.всего15)</t>
  </si>
  <si>
    <t>ИБР по прочим (гр.18*гр.19/ гр.18всего*гр.всего19)</t>
  </si>
  <si>
    <t>ИБР по поселению (гр.2*гр.5)+(гр.6*гр.11) +( гр.12* гр.16)+(гр.17*гр.21)</t>
  </si>
  <si>
    <t>Итого дотация (тыс.руб.)</t>
  </si>
  <si>
    <t>Объём Д(2) гр.21=(гр20 общ- гр.11 общ)*гр.19/гр.19 общ</t>
  </si>
  <si>
    <t>Объём средств, необходимый для доведения бюджетной обеспеченности  до второго критерия выравнивания      гр19 = (гр.17общ *(гр19 общ.- гр.15)* гр6 *гр2</t>
  </si>
  <si>
    <t>МО "Кандалинское сельское поселение"</t>
  </si>
  <si>
    <t>МО "Краснореченское сельское поселение"</t>
  </si>
  <si>
    <t>МО "Матвеевское сельское поселение"</t>
  </si>
  <si>
    <t>МО "Прибрежненское сельское поселение"</t>
  </si>
  <si>
    <t>МО "Жедяевское сельское поселение"</t>
  </si>
  <si>
    <t>МО "Урайкинское сельское поселение"</t>
  </si>
  <si>
    <t>МО "Старомайнское городское поселение"</t>
  </si>
  <si>
    <t>Численность постоянного населения поселения на 01.01.2019 (тыс. чел,)</t>
  </si>
  <si>
    <t>разница 2020-2019</t>
  </si>
  <si>
    <t>Дотации на выравнивание  бюджетной обеспеченности поселений на 2022 год</t>
  </si>
  <si>
    <t>Дотации на выравнивание  бюджетной обеспеченности поселений на 2023 год</t>
  </si>
  <si>
    <t>Дотации на выравнивание  бюджетной обеспеченности поселений на 2024 год</t>
  </si>
  <si>
    <t>Распределение областной дотации по поселениям на 2022 год</t>
  </si>
  <si>
    <t>Расчёт индекса бюджетных расходов на 2022 год</t>
  </si>
  <si>
    <t>Численность населения на 01.01.21 (тыс.чел.)</t>
  </si>
  <si>
    <t>Численность постоянного населения поселения на 01.01.2021 (тыс.чел,)</t>
  </si>
  <si>
    <t>Расчет дотации на выравнивание бюджетной обеспеченности  на 2022 год</t>
  </si>
  <si>
    <t>Расчет коэффициентов удорожания стоимости предоставления муниципальных услуг, отражающих факторы, влияющие на стоимость предоставляемых муниципальных услуг на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</si>
</sst>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7" fontId="9" fillId="0" borderId="10" xfId="0" applyNumberFormat="1" applyFont="1" applyBorder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3" fontId="11" fillId="0" borderId="10" xfId="0" applyNumberFormat="1" applyFont="1" applyBorder="1" applyAlignment="1">
      <alignment/>
    </xf>
    <xf numFmtId="173" fontId="10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justify" wrapText="1"/>
    </xf>
    <xf numFmtId="0" fontId="10" fillId="3" borderId="0" xfId="0" applyFont="1" applyFill="1" applyAlignment="1">
      <alignment vertical="justify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justify" wrapText="1"/>
    </xf>
    <xf numFmtId="0" fontId="10" fillId="3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justify" wrapText="1"/>
    </xf>
    <xf numFmtId="174" fontId="10" fillId="0" borderId="10" xfId="0" applyNumberFormat="1" applyFont="1" applyFill="1" applyBorder="1" applyAlignment="1">
      <alignment horizontal="right" wrapText="1"/>
    </xf>
    <xf numFmtId="4" fontId="10" fillId="3" borderId="10" xfId="0" applyNumberFormat="1" applyFont="1" applyFill="1" applyBorder="1" applyAlignment="1">
      <alignment horizontal="right" wrapText="1"/>
    </xf>
    <xf numFmtId="173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175" fontId="10" fillId="0" borderId="10" xfId="0" applyNumberFormat="1" applyFont="1" applyFill="1" applyBorder="1" applyAlignment="1">
      <alignment horizontal="right" wrapText="1"/>
    </xf>
    <xf numFmtId="2" fontId="10" fillId="3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9" fillId="3" borderId="10" xfId="0" applyFont="1" applyFill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 wrapText="1"/>
    </xf>
    <xf numFmtId="4" fontId="9" fillId="3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 wrapText="1"/>
    </xf>
    <xf numFmtId="2" fontId="9" fillId="3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justify" wrapText="1"/>
    </xf>
    <xf numFmtId="0" fontId="10" fillId="0" borderId="0" xfId="0" applyFont="1" applyAlignment="1">
      <alignment vertical="justify" wrapText="1"/>
    </xf>
    <xf numFmtId="173" fontId="10" fillId="0" borderId="0" xfId="0" applyNumberFormat="1" applyFont="1" applyBorder="1" applyAlignment="1">
      <alignment vertical="justify" wrapText="1"/>
    </xf>
    <xf numFmtId="173" fontId="10" fillId="0" borderId="0" xfId="0" applyNumberFormat="1" applyFont="1" applyFill="1" applyAlignment="1">
      <alignment vertical="justify" wrapText="1"/>
    </xf>
    <xf numFmtId="173" fontId="10" fillId="0" borderId="0" xfId="0" applyNumberFormat="1" applyFont="1" applyAlignment="1">
      <alignment vertical="justify" wrapText="1"/>
    </xf>
    <xf numFmtId="0" fontId="10" fillId="0" borderId="0" xfId="0" applyFont="1" applyAlignment="1">
      <alignment/>
    </xf>
    <xf numFmtId="173" fontId="10" fillId="0" borderId="0" xfId="0" applyNumberFormat="1" applyFont="1" applyFill="1" applyAlignment="1">
      <alignment/>
    </xf>
    <xf numFmtId="173" fontId="10" fillId="0" borderId="0" xfId="0" applyNumberFormat="1" applyFont="1" applyAlignment="1">
      <alignment/>
    </xf>
    <xf numFmtId="173" fontId="10" fillId="3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174" fontId="10" fillId="0" borderId="0" xfId="0" applyNumberFormat="1" applyFont="1" applyAlignment="1">
      <alignment vertical="justify" wrapText="1"/>
    </xf>
    <xf numFmtId="0" fontId="7" fillId="0" borderId="10" xfId="0" applyFont="1" applyFill="1" applyBorder="1" applyAlignment="1">
      <alignment/>
    </xf>
    <xf numFmtId="175" fontId="10" fillId="3" borderId="10" xfId="0" applyNumberFormat="1" applyFont="1" applyFill="1" applyBorder="1" applyAlignment="1">
      <alignment horizontal="right" wrapText="1"/>
    </xf>
    <xf numFmtId="175" fontId="9" fillId="3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justify" wrapText="1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vertical="justify" wrapText="1"/>
    </xf>
    <xf numFmtId="0" fontId="2" fillId="34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justify" wrapText="1"/>
    </xf>
    <xf numFmtId="0" fontId="10" fillId="34" borderId="10" xfId="0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right" wrapText="1"/>
    </xf>
    <xf numFmtId="175" fontId="10" fillId="0" borderId="10" xfId="0" applyNumberFormat="1" applyFont="1" applyBorder="1" applyAlignment="1">
      <alignment horizontal="center"/>
    </xf>
    <xf numFmtId="2" fontId="10" fillId="34" borderId="10" xfId="0" applyNumberFormat="1" applyFont="1" applyFill="1" applyBorder="1" applyAlignment="1">
      <alignment horizontal="right" wrapText="1"/>
    </xf>
    <xf numFmtId="2" fontId="9" fillId="34" borderId="10" xfId="0" applyNumberFormat="1" applyFont="1" applyFill="1" applyBorder="1" applyAlignment="1">
      <alignment horizontal="right" wrapText="1"/>
    </xf>
    <xf numFmtId="173" fontId="10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5" fontId="11" fillId="0" borderId="10" xfId="0" applyNumberFormat="1" applyFont="1" applyBorder="1" applyAlignment="1">
      <alignment/>
    </xf>
    <xf numFmtId="175" fontId="11" fillId="0" borderId="10" xfId="0" applyNumberFormat="1" applyFont="1" applyFill="1" applyBorder="1" applyAlignment="1">
      <alignment/>
    </xf>
    <xf numFmtId="175" fontId="9" fillId="0" borderId="10" xfId="0" applyNumberFormat="1" applyFont="1" applyBorder="1" applyAlignment="1">
      <alignment/>
    </xf>
    <xf numFmtId="175" fontId="12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73" fontId="11" fillId="34" borderId="10" xfId="0" applyNumberFormat="1" applyFont="1" applyFill="1" applyBorder="1" applyAlignment="1">
      <alignment/>
    </xf>
    <xf numFmtId="173" fontId="12" fillId="34" borderId="10" xfId="0" applyNumberFormat="1" applyFont="1" applyFill="1" applyBorder="1" applyAlignment="1">
      <alignment/>
    </xf>
    <xf numFmtId="175" fontId="4" fillId="0" borderId="10" xfId="0" applyNumberFormat="1" applyFont="1" applyBorder="1" applyAlignment="1">
      <alignment/>
    </xf>
    <xf numFmtId="0" fontId="10" fillId="7" borderId="0" xfId="0" applyFont="1" applyFill="1" applyAlignment="1">
      <alignment/>
    </xf>
    <xf numFmtId="0" fontId="10" fillId="7" borderId="0" xfId="0" applyFont="1" applyFill="1" applyAlignment="1">
      <alignment vertical="justify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justify" wrapText="1"/>
    </xf>
    <xf numFmtId="4" fontId="10" fillId="7" borderId="10" xfId="0" applyNumberFormat="1" applyFont="1" applyFill="1" applyBorder="1" applyAlignment="1">
      <alignment horizontal="right" wrapText="1"/>
    </xf>
    <xf numFmtId="4" fontId="10" fillId="7" borderId="0" xfId="0" applyNumberFormat="1" applyFont="1" applyFill="1" applyAlignment="1">
      <alignment vertical="justify" wrapText="1"/>
    </xf>
    <xf numFmtId="0" fontId="2" fillId="7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&#1073;&#1102;&#1076;&#1078;&#1077;&#1090;\&#1044;&#1086;&#1082;&#1091;&#1084;&#1077;&#1085;&#1090;&#1099;\&#1041;&#1102;&#1076;&#1078;&#1077;&#1090;%202021\&#1088;&#1072;&#1089;&#1095;&#1077;&#1090;%20&#1076;&#1086;&#1090;&#1072;&#1094;&#1080;&#1080;\&#1056;&#1072;&#1089;&#1095;&#1077;&#1090;%20&#1076;&#1086;&#1090;&#1072;&#1094;&#1080;&#1080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оселений"/>
      <sheetName val="Лист1"/>
      <sheetName val="коэфф.удорож."/>
      <sheetName val="индекс бюдж.расх."/>
      <sheetName val="1 вариа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75" zoomScaleNormal="75" workbookViewId="0" topLeftCell="A3">
      <selection activeCell="B15" sqref="B15"/>
    </sheetView>
  </sheetViews>
  <sheetFormatPr defaultColWidth="9.140625" defaultRowHeight="15"/>
  <cols>
    <col min="1" max="1" width="44.421875" style="4" customWidth="1"/>
    <col min="2" max="2" width="23.421875" style="4" customWidth="1"/>
    <col min="3" max="3" width="21.7109375" style="4" customWidth="1"/>
    <col min="4" max="4" width="23.7109375" style="4" hidden="1" customWidth="1"/>
    <col min="5" max="5" width="14.8515625" style="4" customWidth="1"/>
    <col min="6" max="6" width="12.7109375" style="4" hidden="1" customWidth="1"/>
    <col min="7" max="16384" width="9.140625" style="4" customWidth="1"/>
  </cols>
  <sheetData>
    <row r="1" ht="15" hidden="1"/>
    <row r="2" spans="1:5" ht="15" hidden="1">
      <c r="A2" s="14"/>
      <c r="B2" s="14"/>
      <c r="C2" s="14"/>
      <c r="D2" s="14"/>
      <c r="E2" s="14"/>
    </row>
    <row r="3" spans="1:5" s="3" customFormat="1" ht="39" customHeight="1">
      <c r="A3" s="125" t="s">
        <v>70</v>
      </c>
      <c r="B3" s="125"/>
      <c r="C3" s="125"/>
      <c r="D3" s="125"/>
      <c r="E3" s="125"/>
    </row>
    <row r="4" spans="1:5" ht="6" customHeight="1">
      <c r="A4" s="14"/>
      <c r="B4" s="14"/>
      <c r="C4" s="14"/>
      <c r="D4" s="14"/>
      <c r="E4" s="14"/>
    </row>
    <row r="5" ht="6.75" customHeight="1"/>
    <row r="6" spans="1:5" ht="108" customHeight="1">
      <c r="A6" s="111" t="s">
        <v>18</v>
      </c>
      <c r="B6" s="111" t="s">
        <v>45</v>
      </c>
      <c r="C6" s="111" t="s">
        <v>46</v>
      </c>
      <c r="D6" s="111" t="s">
        <v>46</v>
      </c>
      <c r="E6" s="112" t="s">
        <v>58</v>
      </c>
    </row>
    <row r="7" spans="1:5" s="7" customFormat="1" ht="15">
      <c r="A7" s="6">
        <v>1</v>
      </c>
      <c r="B7" s="6">
        <v>2</v>
      </c>
      <c r="C7" s="6">
        <v>3</v>
      </c>
      <c r="D7" s="6">
        <v>4</v>
      </c>
      <c r="E7" s="6">
        <v>4</v>
      </c>
    </row>
    <row r="8" spans="1:8" ht="18" customHeight="1">
      <c r="A8" s="95" t="s">
        <v>61</v>
      </c>
      <c r="B8" s="107">
        <f>SUM(Лист1!G8)</f>
        <v>752.0567877325544</v>
      </c>
      <c r="C8" s="107">
        <f>SUM('1 вариант'!X7)</f>
        <v>1482.673</v>
      </c>
      <c r="D8" s="107">
        <f>SUM('1 вариант'!X7)</f>
        <v>1482.673</v>
      </c>
      <c r="E8" s="108">
        <f>SUM(B8+C8)</f>
        <v>2234.7297877325545</v>
      </c>
      <c r="F8" s="105">
        <v>1407.99</v>
      </c>
      <c r="G8" s="8">
        <v>1491.756</v>
      </c>
      <c r="H8" s="117">
        <f aca="true" t="shared" si="0" ref="H8:H13">SUM(C8-G8)</f>
        <v>-9.083000000000084</v>
      </c>
    </row>
    <row r="9" spans="1:8" ht="18" customHeight="1">
      <c r="A9" s="95" t="s">
        <v>62</v>
      </c>
      <c r="B9" s="107">
        <f>SUM(Лист1!G9)</f>
        <v>638.6756375007939</v>
      </c>
      <c r="C9" s="107"/>
      <c r="D9" s="107">
        <f>SUM('1 вариант'!X8)</f>
        <v>0</v>
      </c>
      <c r="E9" s="108">
        <f aca="true" t="shared" si="1" ref="E9:E14">SUM(B9+C9)</f>
        <v>638.6756375007939</v>
      </c>
      <c r="F9" s="105">
        <v>735.12</v>
      </c>
      <c r="G9" s="8">
        <v>620.465</v>
      </c>
      <c r="H9" s="117">
        <f t="shared" si="0"/>
        <v>-620.465</v>
      </c>
    </row>
    <row r="10" spans="1:8" ht="18" customHeight="1">
      <c r="A10" s="95" t="s">
        <v>63</v>
      </c>
      <c r="B10" s="107">
        <f>SUM(Лист1!G10)</f>
        <v>566.5239964442187</v>
      </c>
      <c r="C10" s="107">
        <f>SUM('1 вариант'!X9)</f>
        <v>904.548</v>
      </c>
      <c r="D10" s="107">
        <f>SUM('1 вариант'!X9)</f>
        <v>904.548</v>
      </c>
      <c r="E10" s="108">
        <f t="shared" si="1"/>
        <v>1471.0719964442187</v>
      </c>
      <c r="F10" s="105">
        <v>1301.6</v>
      </c>
      <c r="G10" s="8">
        <v>1111.202</v>
      </c>
      <c r="H10" s="117">
        <f t="shared" si="0"/>
        <v>-206.654</v>
      </c>
    </row>
    <row r="11" spans="1:8" ht="18" customHeight="1">
      <c r="A11" s="95" t="s">
        <v>64</v>
      </c>
      <c r="B11" s="107">
        <f>SUM(Лист1!G11)</f>
        <v>1113.5785024445997</v>
      </c>
      <c r="C11" s="107">
        <f>SUM('1 вариант'!X10)</f>
        <v>1358.104</v>
      </c>
      <c r="D11" s="107">
        <f>SUM('1 вариант'!X10)</f>
        <v>1358.104</v>
      </c>
      <c r="E11" s="108">
        <f t="shared" si="1"/>
        <v>2471.6825024446</v>
      </c>
      <c r="F11" s="105">
        <v>991.18</v>
      </c>
      <c r="G11" s="8">
        <v>1150.092</v>
      </c>
      <c r="H11" s="117">
        <f t="shared" si="0"/>
        <v>208.01199999999994</v>
      </c>
    </row>
    <row r="12" spans="1:8" ht="18" customHeight="1">
      <c r="A12" s="95" t="s">
        <v>65</v>
      </c>
      <c r="B12" s="107">
        <f>SUM(Лист1!G12)</f>
        <v>462.6867140770843</v>
      </c>
      <c r="C12" s="107">
        <f>SUM('1 вариант'!X11)</f>
        <v>1466.133</v>
      </c>
      <c r="D12" s="107">
        <f>SUM('1 вариант'!X11)</f>
        <v>1466.133</v>
      </c>
      <c r="E12" s="108">
        <f t="shared" si="1"/>
        <v>1928.8197140770844</v>
      </c>
      <c r="F12" s="105">
        <v>1467.07</v>
      </c>
      <c r="G12" s="8">
        <v>1458.688</v>
      </c>
      <c r="H12" s="117">
        <f t="shared" si="0"/>
        <v>7.444999999999936</v>
      </c>
    </row>
    <row r="13" spans="1:8" ht="18" customHeight="1">
      <c r="A13" s="95" t="s">
        <v>66</v>
      </c>
      <c r="B13" s="107">
        <f>SUM(Лист1!G13)</f>
        <v>217.98194202806528</v>
      </c>
      <c r="C13" s="107">
        <f>SUM('1 вариант'!X12)</f>
        <v>1069.253</v>
      </c>
      <c r="D13" s="107">
        <f>SUM('1 вариант'!X12)</f>
        <v>1069.253</v>
      </c>
      <c r="E13" s="108">
        <f t="shared" si="1"/>
        <v>1287.2349420280652</v>
      </c>
      <c r="F13" s="105">
        <v>1085.59</v>
      </c>
      <c r="G13" s="8">
        <v>1064.497</v>
      </c>
      <c r="H13" s="117">
        <f t="shared" si="0"/>
        <v>4.755999999999858</v>
      </c>
    </row>
    <row r="14" spans="1:8" ht="18" customHeight="1">
      <c r="A14" s="95" t="s">
        <v>67</v>
      </c>
      <c r="B14" s="107">
        <f>SUM(Лист1!G14)</f>
        <v>2260.751</v>
      </c>
      <c r="C14" s="107"/>
      <c r="D14" s="107">
        <f>SUM('1 вариант'!X13)</f>
        <v>0</v>
      </c>
      <c r="E14" s="108">
        <f t="shared" si="1"/>
        <v>2260.751</v>
      </c>
      <c r="F14" s="105"/>
      <c r="G14" s="8"/>
      <c r="H14" s="8"/>
    </row>
    <row r="15" spans="1:6" s="3" customFormat="1" ht="18.75">
      <c r="A15" s="9" t="s">
        <v>20</v>
      </c>
      <c r="B15" s="109">
        <f>SUM(B8:B14)</f>
        <v>6012.254580227316</v>
      </c>
      <c r="C15" s="109">
        <f>SUM(C8:C14)</f>
        <v>6280.710999999999</v>
      </c>
      <c r="D15" s="109">
        <f>SUM(D8:D14)</f>
        <v>6280.710999999999</v>
      </c>
      <c r="E15" s="110">
        <f>SUM(E8:E14)</f>
        <v>12292.96558022732</v>
      </c>
      <c r="F15" s="106">
        <f>SUM(F8:F14)</f>
        <v>6988.55</v>
      </c>
    </row>
    <row r="16" spans="1:5" ht="15">
      <c r="A16" s="8"/>
      <c r="B16" s="8"/>
      <c r="C16" s="8"/>
      <c r="D16" s="8"/>
      <c r="E16" s="27"/>
    </row>
    <row r="17" spans="1:5" ht="15">
      <c r="A17" s="11"/>
      <c r="B17" s="11"/>
      <c r="C17" s="11"/>
      <c r="D17" s="11"/>
      <c r="E17" s="24"/>
    </row>
    <row r="18" spans="1:5" ht="33.75" customHeight="1">
      <c r="A18" s="125" t="s">
        <v>71</v>
      </c>
      <c r="B18" s="125"/>
      <c r="C18" s="125"/>
      <c r="D18" s="125"/>
      <c r="E18" s="125"/>
    </row>
    <row r="19" spans="1:10" ht="15.75" hidden="1">
      <c r="A19" s="14"/>
      <c r="B19" s="14"/>
      <c r="C19" s="14"/>
      <c r="D19" s="14"/>
      <c r="E19" s="14"/>
      <c r="F19" s="126"/>
      <c r="G19" s="126"/>
      <c r="H19" s="126"/>
      <c r="I19" s="126"/>
      <c r="J19" s="126"/>
    </row>
    <row r="21" spans="1:6" s="114" customFormat="1" ht="105" customHeight="1">
      <c r="A21" s="111" t="s">
        <v>18</v>
      </c>
      <c r="B21" s="111" t="s">
        <v>45</v>
      </c>
      <c r="C21" s="111" t="s">
        <v>46</v>
      </c>
      <c r="D21" s="111" t="s">
        <v>46</v>
      </c>
      <c r="E21" s="112" t="s">
        <v>58</v>
      </c>
      <c r="F21" s="113"/>
    </row>
    <row r="22" spans="1:6" ht="15">
      <c r="A22" s="6">
        <v>1</v>
      </c>
      <c r="B22" s="6">
        <v>2</v>
      </c>
      <c r="C22" s="6">
        <v>3</v>
      </c>
      <c r="D22" s="6">
        <v>4</v>
      </c>
      <c r="E22" s="6">
        <v>4</v>
      </c>
      <c r="F22" s="14"/>
    </row>
    <row r="23" spans="1:6" ht="18" customHeight="1">
      <c r="A23" s="95" t="s">
        <v>61</v>
      </c>
      <c r="B23" s="107">
        <v>782.19</v>
      </c>
      <c r="C23" s="107">
        <v>1482.673373187649</v>
      </c>
      <c r="D23" s="107">
        <f>SUM('[1]1 вариант'!X21)</f>
        <v>0</v>
      </c>
      <c r="E23" s="108">
        <f>SUM(B23+C23)</f>
        <v>2264.863373187649</v>
      </c>
      <c r="F23" s="14"/>
    </row>
    <row r="24" spans="1:5" ht="18" customHeight="1">
      <c r="A24" s="95" t="s">
        <v>62</v>
      </c>
      <c r="B24" s="107">
        <v>664.266</v>
      </c>
      <c r="C24" s="107">
        <v>615.9882513764893</v>
      </c>
      <c r="D24" s="107">
        <f>SUM('[1]1 вариант'!X22)</f>
        <v>0</v>
      </c>
      <c r="E24" s="108">
        <f aca="true" t="shared" si="2" ref="E24:E29">SUM(B24+C24)</f>
        <v>1280.2542513764893</v>
      </c>
    </row>
    <row r="25" spans="1:5" ht="18" customHeight="1">
      <c r="A25" s="95" t="s">
        <v>63</v>
      </c>
      <c r="B25" s="107">
        <v>589.224</v>
      </c>
      <c r="C25" s="107">
        <v>904.548240954969</v>
      </c>
      <c r="D25" s="107">
        <f>SUM('[1]1 вариант'!X23)</f>
        <v>0</v>
      </c>
      <c r="E25" s="108">
        <f t="shared" si="2"/>
        <v>1493.772240954969</v>
      </c>
    </row>
    <row r="26" spans="1:5" ht="18" customHeight="1">
      <c r="A26" s="95" t="s">
        <v>64</v>
      </c>
      <c r="B26" s="107">
        <v>1158.198</v>
      </c>
      <c r="C26" s="107">
        <v>1358.1040988719774</v>
      </c>
      <c r="D26" s="107">
        <f>SUM('[1]1 вариант'!X24)</f>
        <v>0</v>
      </c>
      <c r="E26" s="108">
        <f t="shared" si="2"/>
        <v>2516.3020988719773</v>
      </c>
    </row>
    <row r="27" spans="1:5" ht="18" customHeight="1">
      <c r="A27" s="95" t="s">
        <v>65</v>
      </c>
      <c r="B27" s="107">
        <v>481.226</v>
      </c>
      <c r="C27" s="107">
        <v>1466.1332674033436</v>
      </c>
      <c r="D27" s="107">
        <f>SUM('[1]1 вариант'!X25)</f>
        <v>0</v>
      </c>
      <c r="E27" s="108">
        <f t="shared" si="2"/>
        <v>1947.3592674033434</v>
      </c>
    </row>
    <row r="28" spans="1:5" ht="18" customHeight="1">
      <c r="A28" s="95" t="s">
        <v>66</v>
      </c>
      <c r="B28" s="107">
        <v>226.716</v>
      </c>
      <c r="C28" s="107">
        <v>1069.2527682055709</v>
      </c>
      <c r="D28" s="107">
        <f>SUM('[1]1 вариант'!X26)</f>
        <v>0</v>
      </c>
      <c r="E28" s="108">
        <f t="shared" si="2"/>
        <v>1295.968768205571</v>
      </c>
    </row>
    <row r="29" spans="1:5" ht="18" customHeight="1">
      <c r="A29" s="95" t="s">
        <v>67</v>
      </c>
      <c r="B29" s="107">
        <v>2351.335</v>
      </c>
      <c r="C29" s="107"/>
      <c r="D29" s="107">
        <f>SUM('[1]1 вариант'!X27)</f>
        <v>0</v>
      </c>
      <c r="E29" s="108">
        <f t="shared" si="2"/>
        <v>2351.335</v>
      </c>
    </row>
    <row r="30" spans="1:5" ht="18.75">
      <c r="A30" s="9" t="s">
        <v>20</v>
      </c>
      <c r="B30" s="109">
        <f>SUM(B23:B29)</f>
        <v>6253.155000000001</v>
      </c>
      <c r="C30" s="109">
        <f>SUM(C23:C29)</f>
        <v>6896.7</v>
      </c>
      <c r="D30" s="109">
        <f>SUM(D23:D29)</f>
        <v>0</v>
      </c>
      <c r="E30" s="110">
        <f>SUM(E23:E29)</f>
        <v>13149.854999999996</v>
      </c>
    </row>
    <row r="32" spans="1:5" ht="33.75" customHeight="1">
      <c r="A32" s="125" t="s">
        <v>72</v>
      </c>
      <c r="B32" s="125"/>
      <c r="C32" s="125"/>
      <c r="D32" s="125"/>
      <c r="E32" s="125"/>
    </row>
    <row r="33" spans="1:10" ht="15.75" hidden="1">
      <c r="A33" s="14"/>
      <c r="B33" s="14"/>
      <c r="C33" s="14"/>
      <c r="D33" s="14"/>
      <c r="E33" s="14"/>
      <c r="F33" s="126"/>
      <c r="G33" s="126"/>
      <c r="H33" s="126"/>
      <c r="I33" s="126"/>
      <c r="J33" s="126"/>
    </row>
    <row r="35" spans="1:6" s="114" customFormat="1" ht="105" customHeight="1">
      <c r="A35" s="111" t="s">
        <v>18</v>
      </c>
      <c r="B35" s="111" t="s">
        <v>45</v>
      </c>
      <c r="C35" s="111" t="s">
        <v>46</v>
      </c>
      <c r="D35" s="111" t="s">
        <v>46</v>
      </c>
      <c r="E35" s="112" t="s">
        <v>58</v>
      </c>
      <c r="F35" s="113"/>
    </row>
    <row r="36" spans="1:6" ht="15">
      <c r="A36" s="6">
        <v>1</v>
      </c>
      <c r="B36" s="6">
        <v>2</v>
      </c>
      <c r="C36" s="6">
        <v>3</v>
      </c>
      <c r="D36" s="6">
        <v>4</v>
      </c>
      <c r="E36" s="6">
        <v>4</v>
      </c>
      <c r="F36" s="14"/>
    </row>
    <row r="37" spans="1:6" ht="18" customHeight="1">
      <c r="A37" s="95" t="s">
        <v>61</v>
      </c>
      <c r="B37" s="107">
        <v>782.19</v>
      </c>
      <c r="C37" s="107">
        <v>1482.673373187649</v>
      </c>
      <c r="D37" s="107">
        <f>SUM('[1]1 вариант'!X35)</f>
        <v>0</v>
      </c>
      <c r="E37" s="108">
        <f>SUM(B37+C37)</f>
        <v>2264.863373187649</v>
      </c>
      <c r="F37" s="14"/>
    </row>
    <row r="38" spans="1:5" ht="18" customHeight="1">
      <c r="A38" s="95" t="s">
        <v>62</v>
      </c>
      <c r="B38" s="107">
        <v>664.266</v>
      </c>
      <c r="C38" s="107">
        <v>615.9882513764893</v>
      </c>
      <c r="D38" s="107">
        <f>SUM('[1]1 вариант'!X36)</f>
        <v>0</v>
      </c>
      <c r="E38" s="108">
        <f aca="true" t="shared" si="3" ref="E38:E43">SUM(B38+C38)</f>
        <v>1280.2542513764893</v>
      </c>
    </row>
    <row r="39" spans="1:5" ht="18" customHeight="1">
      <c r="A39" s="95" t="s">
        <v>63</v>
      </c>
      <c r="B39" s="107">
        <v>589.224</v>
      </c>
      <c r="C39" s="107">
        <v>904.548240954969</v>
      </c>
      <c r="D39" s="107">
        <f>SUM('[1]1 вариант'!X37)</f>
        <v>0</v>
      </c>
      <c r="E39" s="108">
        <f t="shared" si="3"/>
        <v>1493.772240954969</v>
      </c>
    </row>
    <row r="40" spans="1:5" ht="18" customHeight="1">
      <c r="A40" s="95" t="s">
        <v>64</v>
      </c>
      <c r="B40" s="107">
        <v>1158.198</v>
      </c>
      <c r="C40" s="107">
        <v>1358.1040988719774</v>
      </c>
      <c r="D40" s="107">
        <f>SUM('[1]1 вариант'!X38)</f>
        <v>0</v>
      </c>
      <c r="E40" s="108">
        <f t="shared" si="3"/>
        <v>2516.3020988719773</v>
      </c>
    </row>
    <row r="41" spans="1:5" ht="18" customHeight="1">
      <c r="A41" s="95" t="s">
        <v>65</v>
      </c>
      <c r="B41" s="107">
        <v>481.226</v>
      </c>
      <c r="C41" s="107">
        <v>1466.1332674033436</v>
      </c>
      <c r="D41" s="107">
        <f>SUM('[1]1 вариант'!X39)</f>
        <v>0</v>
      </c>
      <c r="E41" s="108">
        <f t="shared" si="3"/>
        <v>1947.3592674033434</v>
      </c>
    </row>
    <row r="42" spans="1:5" ht="18" customHeight="1">
      <c r="A42" s="95" t="s">
        <v>66</v>
      </c>
      <c r="B42" s="107">
        <v>226.716</v>
      </c>
      <c r="C42" s="107">
        <v>1069.2527682055709</v>
      </c>
      <c r="D42" s="107">
        <f>SUM('[1]1 вариант'!X40)</f>
        <v>0</v>
      </c>
      <c r="E42" s="108">
        <f t="shared" si="3"/>
        <v>1295.968768205571</v>
      </c>
    </row>
    <row r="43" spans="1:5" ht="18" customHeight="1">
      <c r="A43" s="95" t="s">
        <v>67</v>
      </c>
      <c r="B43" s="107">
        <v>2351.335</v>
      </c>
      <c r="C43" s="107"/>
      <c r="D43" s="107">
        <f>SUM('[1]1 вариант'!X41)</f>
        <v>0</v>
      </c>
      <c r="E43" s="108">
        <f t="shared" si="3"/>
        <v>2351.335</v>
      </c>
    </row>
    <row r="44" spans="1:5" ht="18.75">
      <c r="A44" s="9" t="s">
        <v>20</v>
      </c>
      <c r="B44" s="109">
        <f>SUM(B37:B43)</f>
        <v>6253.155000000001</v>
      </c>
      <c r="C44" s="109">
        <f>SUM(C37:C43)</f>
        <v>6896.7</v>
      </c>
      <c r="D44" s="109">
        <f>SUM(D37:D43)</f>
        <v>0</v>
      </c>
      <c r="E44" s="110">
        <f>SUM(E37:E43)</f>
        <v>13149.854999999996</v>
      </c>
    </row>
  </sheetData>
  <sheetProtection/>
  <mergeCells count="5">
    <mergeCell ref="A3:E3"/>
    <mergeCell ref="F19:J19"/>
    <mergeCell ref="A18:E18"/>
    <mergeCell ref="A32:E32"/>
    <mergeCell ref="F33:J33"/>
  </mergeCells>
  <printOptions/>
  <pageMargins left="0.7480314960629921" right="0.7480314960629921" top="0.3937007874015748" bottom="0.3149606299212598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zoomScalePageLayoutView="0" workbookViewId="0" topLeftCell="A4">
      <selection activeCell="H8" sqref="H8:H14"/>
    </sheetView>
  </sheetViews>
  <sheetFormatPr defaultColWidth="9.140625" defaultRowHeight="15"/>
  <cols>
    <col min="1" max="1" width="24.00390625" style="4" customWidth="1"/>
    <col min="2" max="2" width="12.140625" style="4" customWidth="1"/>
    <col min="3" max="3" width="21.28125" style="4" customWidth="1"/>
    <col min="4" max="4" width="16.28125" style="4" customWidth="1"/>
    <col min="5" max="5" width="12.7109375" style="4" customWidth="1"/>
    <col min="6" max="7" width="13.7109375" style="4" customWidth="1"/>
    <col min="8" max="8" width="12.7109375" style="4" customWidth="1"/>
    <col min="9" max="16384" width="9.140625" style="4" customWidth="1"/>
  </cols>
  <sheetData>
    <row r="2" ht="15" hidden="1"/>
    <row r="3" spans="1:7" s="3" customFormat="1" ht="18.75">
      <c r="A3" s="127" t="s">
        <v>73</v>
      </c>
      <c r="B3" s="127"/>
      <c r="C3" s="127"/>
      <c r="D3" s="127"/>
      <c r="E3" s="127"/>
      <c r="F3" s="127"/>
      <c r="G3" s="127"/>
    </row>
    <row r="5" ht="15" hidden="1"/>
    <row r="6" spans="1:7" ht="120" customHeight="1">
      <c r="A6" s="5" t="s">
        <v>18</v>
      </c>
      <c r="B6" s="5" t="s">
        <v>21</v>
      </c>
      <c r="C6" s="15" t="s">
        <v>39</v>
      </c>
      <c r="D6" s="15" t="s">
        <v>40</v>
      </c>
      <c r="E6" s="5" t="s">
        <v>19</v>
      </c>
      <c r="F6" s="5" t="s">
        <v>41</v>
      </c>
      <c r="G6" s="5" t="s">
        <v>42</v>
      </c>
    </row>
    <row r="7" spans="1:7" s="7" customFormat="1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8" ht="32.25">
      <c r="A8" s="95" t="s">
        <v>61</v>
      </c>
      <c r="B8" s="100">
        <v>1.97</v>
      </c>
      <c r="C8" s="20"/>
      <c r="D8" s="20"/>
      <c r="E8" s="20"/>
      <c r="F8" s="20"/>
      <c r="G8" s="103">
        <f>SUM(H8)</f>
        <v>752.0567877325544</v>
      </c>
      <c r="H8" s="103">
        <f>SUM(B8*F15)*1000</f>
        <v>752.0567877325544</v>
      </c>
    </row>
    <row r="9" spans="1:8" ht="32.25">
      <c r="A9" s="95" t="s">
        <v>62</v>
      </c>
      <c r="B9" s="100">
        <v>1.673</v>
      </c>
      <c r="C9" s="20"/>
      <c r="D9" s="20"/>
      <c r="E9" s="20"/>
      <c r="F9" s="20"/>
      <c r="G9" s="103">
        <f aca="true" t="shared" si="0" ref="G9:G14">SUM(H9)</f>
        <v>638.6756375007939</v>
      </c>
      <c r="H9" s="103">
        <f>SUM(B9*F15)*1000</f>
        <v>638.6756375007939</v>
      </c>
    </row>
    <row r="10" spans="1:8" ht="32.25">
      <c r="A10" s="95" t="s">
        <v>63</v>
      </c>
      <c r="B10" s="100">
        <v>1.484</v>
      </c>
      <c r="C10" s="20"/>
      <c r="D10" s="20"/>
      <c r="E10" s="20"/>
      <c r="F10" s="20"/>
      <c r="G10" s="103">
        <f t="shared" si="0"/>
        <v>566.5239964442187</v>
      </c>
      <c r="H10" s="103">
        <f>SUM(B10*F15)*1000</f>
        <v>566.5239964442187</v>
      </c>
    </row>
    <row r="11" spans="1:8" ht="32.25">
      <c r="A11" s="95" t="s">
        <v>64</v>
      </c>
      <c r="B11" s="100">
        <v>2.917</v>
      </c>
      <c r="C11" s="20"/>
      <c r="D11" s="20"/>
      <c r="E11" s="20"/>
      <c r="F11" s="20"/>
      <c r="G11" s="103">
        <f t="shared" si="0"/>
        <v>1113.5785024445997</v>
      </c>
      <c r="H11" s="103">
        <f>SUM(B11*F15)*1000</f>
        <v>1113.5785024445997</v>
      </c>
    </row>
    <row r="12" spans="1:8" ht="32.25">
      <c r="A12" s="95" t="s">
        <v>65</v>
      </c>
      <c r="B12" s="100">
        <v>1.212</v>
      </c>
      <c r="C12" s="20"/>
      <c r="D12" s="20"/>
      <c r="E12" s="20"/>
      <c r="F12" s="20"/>
      <c r="G12" s="103">
        <f t="shared" si="0"/>
        <v>462.6867140770843</v>
      </c>
      <c r="H12" s="103">
        <f>SUM(B12*F15)*1000</f>
        <v>462.6867140770843</v>
      </c>
    </row>
    <row r="13" spans="1:8" ht="32.25">
      <c r="A13" s="95" t="s">
        <v>66</v>
      </c>
      <c r="B13" s="100">
        <v>0.571</v>
      </c>
      <c r="C13" s="20"/>
      <c r="D13" s="20"/>
      <c r="E13" s="20"/>
      <c r="F13" s="20"/>
      <c r="G13" s="103">
        <f t="shared" si="0"/>
        <v>217.98194202806528</v>
      </c>
      <c r="H13" s="103">
        <f>SUM(B13*F15)*1000</f>
        <v>217.98194202806528</v>
      </c>
    </row>
    <row r="14" spans="1:8" ht="32.25">
      <c r="A14" s="95" t="s">
        <v>67</v>
      </c>
      <c r="B14" s="100">
        <v>5.922</v>
      </c>
      <c r="C14" s="20"/>
      <c r="D14" s="20"/>
      <c r="E14" s="20"/>
      <c r="F14" s="20"/>
      <c r="G14" s="103">
        <f t="shared" si="0"/>
        <v>2260.751</v>
      </c>
      <c r="H14" s="103">
        <v>2260.751</v>
      </c>
    </row>
    <row r="15" spans="1:8" s="3" customFormat="1" ht="18.75">
      <c r="A15" s="19"/>
      <c r="B15" s="100">
        <f>B8+B9+B10+B11+B12+B13+B14</f>
        <v>15.748999999999999</v>
      </c>
      <c r="C15" s="18">
        <v>6015.5</v>
      </c>
      <c r="D15" s="17">
        <f>2.95+0.295</f>
        <v>3.245</v>
      </c>
      <c r="E15" s="17">
        <f>C15-D15</f>
        <v>6012.255</v>
      </c>
      <c r="F15" s="21">
        <f>E15/B15/1000</f>
        <v>0.38175471458505306</v>
      </c>
      <c r="G15" s="104">
        <f>SUM(G8:G14)</f>
        <v>6012.254580227316</v>
      </c>
      <c r="H15" s="3">
        <f>SUM(H8:H14)</f>
        <v>6012.254580227316</v>
      </c>
    </row>
    <row r="16" spans="1:7" ht="15">
      <c r="A16" s="8"/>
      <c r="B16" s="8"/>
      <c r="C16" s="8"/>
      <c r="D16" s="8"/>
      <c r="E16" s="8"/>
      <c r="F16" s="8"/>
      <c r="G16" s="8"/>
    </row>
    <row r="20" ht="15">
      <c r="A20" s="14"/>
    </row>
    <row r="21" ht="15">
      <c r="A21" s="14"/>
    </row>
    <row r="22" ht="15">
      <c r="A22" s="14"/>
    </row>
  </sheetData>
  <sheetProtection/>
  <mergeCells count="1">
    <mergeCell ref="A3:G3"/>
  </mergeCells>
  <printOptions/>
  <pageMargins left="0.49" right="0.17" top="0.73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23.00390625" style="4" customWidth="1"/>
    <col min="2" max="2" width="13.57421875" style="31" customWidth="1"/>
    <col min="3" max="3" width="14.28125" style="31" customWidth="1"/>
    <col min="4" max="4" width="12.8515625" style="31" customWidth="1"/>
    <col min="5" max="5" width="13.57421875" style="31" customWidth="1"/>
    <col min="6" max="6" width="9.57421875" style="31" customWidth="1"/>
    <col min="7" max="7" width="14.28125" style="31" customWidth="1"/>
    <col min="8" max="8" width="15.421875" style="4" customWidth="1"/>
    <col min="9" max="9" width="14.8515625" style="4" customWidth="1"/>
    <col min="10" max="12" width="13.28125" style="4" customWidth="1"/>
    <col min="13" max="13" width="13.140625" style="4" customWidth="1"/>
    <col min="14" max="16384" width="9.140625" style="4" customWidth="1"/>
  </cols>
  <sheetData>
    <row r="2" spans="1:9" s="13" customFormat="1" ht="43.5" customHeight="1">
      <c r="A2" s="128" t="s">
        <v>78</v>
      </c>
      <c r="B2" s="128"/>
      <c r="C2" s="128"/>
      <c r="D2" s="128"/>
      <c r="E2" s="128"/>
      <c r="F2" s="128"/>
      <c r="G2" s="128"/>
      <c r="H2" s="128"/>
      <c r="I2" s="128"/>
    </row>
    <row r="5" spans="1:12" ht="150.75" customHeight="1">
      <c r="A5" s="16" t="s">
        <v>18</v>
      </c>
      <c r="B5" s="32" t="s">
        <v>68</v>
      </c>
      <c r="C5" s="32" t="s">
        <v>22</v>
      </c>
      <c r="D5" s="32" t="s">
        <v>23</v>
      </c>
      <c r="E5" s="32" t="s">
        <v>28</v>
      </c>
      <c r="F5" s="32" t="s">
        <v>24</v>
      </c>
      <c r="G5" s="32" t="s">
        <v>30</v>
      </c>
      <c r="H5" s="16" t="s">
        <v>47</v>
      </c>
      <c r="I5" s="16" t="s">
        <v>48</v>
      </c>
      <c r="J5" s="10"/>
      <c r="K5" s="10"/>
      <c r="L5" s="10"/>
    </row>
    <row r="6" spans="1:12" ht="15">
      <c r="A6" s="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6">
        <v>8</v>
      </c>
      <c r="I6" s="6">
        <v>9</v>
      </c>
      <c r="J6" s="11"/>
      <c r="K6" s="11"/>
      <c r="L6" s="11"/>
    </row>
    <row r="7" spans="1:12" ht="32.25">
      <c r="A7" s="95" t="s">
        <v>61</v>
      </c>
      <c r="B7" s="33">
        <f>SUM(Лист1!B8)</f>
        <v>1.97</v>
      </c>
      <c r="C7" s="33"/>
      <c r="D7" s="34">
        <f>(0.6*B7+0.4*C14)/B7</f>
        <v>1.056823785351704</v>
      </c>
      <c r="E7" s="35">
        <v>1.318</v>
      </c>
      <c r="F7" s="34">
        <f aca="true" t="shared" si="0" ref="F7:F13">E7/B7</f>
        <v>0.6690355329949239</v>
      </c>
      <c r="G7" s="34">
        <f aca="true" t="shared" si="1" ref="G7:G14">1+F7</f>
        <v>1.6690355329949238</v>
      </c>
      <c r="H7" s="115">
        <f>966.4+646.1-300</f>
        <v>1312.5</v>
      </c>
      <c r="I7" s="36">
        <f aca="true" t="shared" si="2" ref="I7:I12">(H7/B7)/(H$14/B$14)</f>
        <v>0.885031783850549</v>
      </c>
      <c r="J7" s="12"/>
      <c r="K7" s="12"/>
      <c r="L7" s="12"/>
    </row>
    <row r="8" spans="1:12" ht="33.75" customHeight="1">
      <c r="A8" s="95" t="s">
        <v>62</v>
      </c>
      <c r="B8" s="33">
        <f>SUM(Лист1!B9)</f>
        <v>1.673</v>
      </c>
      <c r="C8" s="33"/>
      <c r="D8" s="34">
        <f>(0.6*B8+0.4*C14)/B8</f>
        <v>1.137921612159508</v>
      </c>
      <c r="E8" s="37">
        <v>0.457</v>
      </c>
      <c r="F8" s="34">
        <f t="shared" si="0"/>
        <v>0.2731619844590556</v>
      </c>
      <c r="G8" s="34">
        <f t="shared" si="1"/>
        <v>1.2731619844590556</v>
      </c>
      <c r="H8" s="115">
        <f>992.4+200-200</f>
        <v>992.4000000000001</v>
      </c>
      <c r="I8" s="36">
        <f t="shared" si="2"/>
        <v>0.7879825432807998</v>
      </c>
      <c r="J8" s="12"/>
      <c r="K8" s="12"/>
      <c r="L8" s="12"/>
    </row>
    <row r="9" spans="1:12" ht="32.25">
      <c r="A9" s="95" t="s">
        <v>63</v>
      </c>
      <c r="B9" s="33">
        <f>SUM(Лист1!B10)</f>
        <v>1.484</v>
      </c>
      <c r="C9" s="33"/>
      <c r="D9" s="34">
        <f>(0.6*B9+0.4*C14)/B9</f>
        <v>1.2064304967269925</v>
      </c>
      <c r="E9" s="35">
        <v>1.484</v>
      </c>
      <c r="F9" s="34">
        <f t="shared" si="0"/>
        <v>1</v>
      </c>
      <c r="G9" s="34">
        <f t="shared" si="1"/>
        <v>2</v>
      </c>
      <c r="H9" s="115">
        <f>1297.3-600</f>
        <v>697.3</v>
      </c>
      <c r="I9" s="36">
        <f t="shared" si="2"/>
        <v>0.6241824391588273</v>
      </c>
      <c r="J9" s="12"/>
      <c r="K9" s="12"/>
      <c r="L9" s="12"/>
    </row>
    <row r="10" spans="1:12" ht="32.25">
      <c r="A10" s="95" t="s">
        <v>64</v>
      </c>
      <c r="B10" s="33">
        <f>SUM(Лист1!B11)</f>
        <v>2.917</v>
      </c>
      <c r="C10" s="33"/>
      <c r="D10" s="34">
        <f>(0.6*B10+0.4*C14)/B10</f>
        <v>0.9085165776972427</v>
      </c>
      <c r="E10" s="35">
        <v>0.645</v>
      </c>
      <c r="F10" s="34">
        <f t="shared" si="0"/>
        <v>0.22111758656153585</v>
      </c>
      <c r="G10" s="34">
        <f t="shared" si="1"/>
        <v>1.2211175865615358</v>
      </c>
      <c r="H10" s="115">
        <f>699.3+63.4+500+300+400</f>
        <v>1962.6999999999998</v>
      </c>
      <c r="I10" s="34">
        <f t="shared" si="2"/>
        <v>0.8938060193250182</v>
      </c>
      <c r="J10" s="23"/>
      <c r="K10" s="12"/>
      <c r="L10" s="12"/>
    </row>
    <row r="11" spans="1:12" s="31" customFormat="1" ht="32.25">
      <c r="A11" s="95" t="s">
        <v>65</v>
      </c>
      <c r="B11" s="33">
        <f>SUM(Лист1!B12)</f>
        <v>1.212</v>
      </c>
      <c r="C11" s="33"/>
      <c r="D11" s="34">
        <f>(0.6*B11+0.4*C14)/B11</f>
        <v>1.3425271098538425</v>
      </c>
      <c r="E11" s="35">
        <v>0.676</v>
      </c>
      <c r="F11" s="34">
        <f t="shared" si="0"/>
        <v>0.5577557755775578</v>
      </c>
      <c r="G11" s="34">
        <f t="shared" si="1"/>
        <v>1.557755775577558</v>
      </c>
      <c r="H11" s="115">
        <f>702.7+100+150</f>
        <v>952.7</v>
      </c>
      <c r="I11" s="34">
        <f t="shared" si="2"/>
        <v>1.0441895128301766</v>
      </c>
      <c r="J11" s="23"/>
      <c r="K11" s="23"/>
      <c r="L11" s="23"/>
    </row>
    <row r="12" spans="1:12" ht="32.25">
      <c r="A12" s="95" t="s">
        <v>66</v>
      </c>
      <c r="B12" s="33">
        <f>SUM(Лист1!B13)</f>
        <v>0.571</v>
      </c>
      <c r="C12" s="33"/>
      <c r="D12" s="34">
        <f>(0.6*B12+0.4*C14)/B12</f>
        <v>2.1760820615461594</v>
      </c>
      <c r="E12" s="35">
        <v>0.571</v>
      </c>
      <c r="F12" s="34">
        <f t="shared" si="0"/>
        <v>1</v>
      </c>
      <c r="G12" s="34">
        <f t="shared" si="1"/>
        <v>2</v>
      </c>
      <c r="H12" s="115">
        <f>478-100</f>
        <v>378</v>
      </c>
      <c r="I12" s="34">
        <f t="shared" si="2"/>
        <v>0.8793898999745139</v>
      </c>
      <c r="J12" s="23"/>
      <c r="K12" s="12"/>
      <c r="L12" s="12"/>
    </row>
    <row r="13" spans="1:12" ht="32.25">
      <c r="A13" s="95" t="s">
        <v>67</v>
      </c>
      <c r="B13" s="33">
        <f>SUM(Лист1!B14)</f>
        <v>5.922</v>
      </c>
      <c r="C13" s="33"/>
      <c r="D13" s="34">
        <f>(0.6*B13+0.4*C14)/B13</f>
        <v>0.7519660346408067</v>
      </c>
      <c r="E13" s="35">
        <v>0</v>
      </c>
      <c r="F13" s="34">
        <f t="shared" si="0"/>
        <v>0</v>
      </c>
      <c r="G13" s="34">
        <f t="shared" si="1"/>
        <v>1</v>
      </c>
      <c r="H13" s="115">
        <f>1435.8+1124.3+1500+1500</f>
        <v>5560.1</v>
      </c>
      <c r="I13" s="34">
        <f>(H13/B14)/(H$14/B$14)</f>
        <v>0.4689811651779313</v>
      </c>
      <c r="J13" s="24"/>
      <c r="K13" s="11"/>
      <c r="L13" s="11"/>
    </row>
    <row r="14" spans="1:12" ht="37.5">
      <c r="A14" s="38" t="s">
        <v>25</v>
      </c>
      <c r="B14" s="39">
        <f>SUM(B7:B13)</f>
        <v>15.748999999999999</v>
      </c>
      <c r="C14" s="40">
        <f>B14/7</f>
        <v>2.2498571428571426</v>
      </c>
      <c r="D14" s="40">
        <f>(0.6*B14+0.4*$C$14)/B14</f>
        <v>0.6571428571428571</v>
      </c>
      <c r="E14" s="40">
        <f>SUM(E7:E13)</f>
        <v>5.151</v>
      </c>
      <c r="F14" s="40">
        <f>E14/B14</f>
        <v>0.32706838529430443</v>
      </c>
      <c r="G14" s="40">
        <f t="shared" si="1"/>
        <v>1.3270683852943044</v>
      </c>
      <c r="H14" s="116">
        <f>SUM(H7:H13)</f>
        <v>11855.7</v>
      </c>
      <c r="I14" s="41">
        <f>(H14/B14)/(H$14/B$14)</f>
        <v>1</v>
      </c>
      <c r="J14" s="12"/>
      <c r="K14" s="12"/>
      <c r="L14" s="12"/>
    </row>
    <row r="15" spans="1:12" ht="15">
      <c r="A15" s="8"/>
      <c r="B15" s="27"/>
      <c r="C15" s="27"/>
      <c r="D15" s="27"/>
      <c r="E15" s="27"/>
      <c r="F15" s="27"/>
      <c r="G15" s="27"/>
      <c r="H15" s="8"/>
      <c r="I15" s="8"/>
      <c r="J15" s="11"/>
      <c r="K15" s="11"/>
      <c r="L15" s="11"/>
    </row>
    <row r="18" spans="2:5" ht="15">
      <c r="B18" s="30"/>
      <c r="C18" s="30"/>
      <c r="D18" s="30"/>
      <c r="E18" s="30"/>
    </row>
  </sheetData>
  <sheetProtection/>
  <mergeCells count="1">
    <mergeCell ref="A2:I2"/>
  </mergeCells>
  <printOptions/>
  <pageMargins left="0.5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21.28125" style="31" customWidth="1"/>
    <col min="2" max="2" width="14.7109375" style="31" customWidth="1"/>
    <col min="3" max="3" width="11.421875" style="31" customWidth="1"/>
    <col min="4" max="4" width="9.421875" style="31" customWidth="1"/>
    <col min="5" max="5" width="10.7109375" style="31" customWidth="1"/>
    <col min="6" max="6" width="14.00390625" style="31" customWidth="1"/>
    <col min="7" max="7" width="11.57421875" style="31" customWidth="1"/>
    <col min="8" max="9" width="9.421875" style="31" customWidth="1"/>
    <col min="10" max="10" width="10.28125" style="31" customWidth="1"/>
    <col min="11" max="11" width="10.7109375" style="31" customWidth="1"/>
    <col min="12" max="12" width="14.00390625" style="31" customWidth="1"/>
    <col min="13" max="13" width="12.57421875" style="31" customWidth="1"/>
    <col min="14" max="14" width="11.8515625" style="31" customWidth="1"/>
    <col min="15" max="15" width="10.57421875" style="31" customWidth="1"/>
    <col min="16" max="16" width="11.00390625" style="31" customWidth="1"/>
    <col min="17" max="17" width="14.00390625" style="31" customWidth="1"/>
    <col min="18" max="18" width="11.421875" style="31" customWidth="1"/>
    <col min="19" max="20" width="10.00390625" style="31" customWidth="1"/>
    <col min="21" max="21" width="12.140625" style="31" customWidth="1"/>
    <col min="22" max="22" width="11.140625" style="31" customWidth="1"/>
    <col min="23" max="16384" width="9.140625" style="4" customWidth="1"/>
  </cols>
  <sheetData>
    <row r="2" spans="1:22" s="13" customFormat="1" ht="18.75">
      <c r="A2" s="129" t="s">
        <v>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5" spans="1:22" ht="57" customHeight="1">
      <c r="A5" s="132" t="s">
        <v>18</v>
      </c>
      <c r="B5" s="134" t="s">
        <v>50</v>
      </c>
      <c r="C5" s="135"/>
      <c r="D5" s="135"/>
      <c r="E5" s="136"/>
      <c r="F5" s="134" t="s">
        <v>49</v>
      </c>
      <c r="G5" s="135"/>
      <c r="H5" s="135"/>
      <c r="I5" s="135"/>
      <c r="J5" s="135"/>
      <c r="K5" s="136"/>
      <c r="L5" s="134" t="s">
        <v>53</v>
      </c>
      <c r="M5" s="135"/>
      <c r="N5" s="135"/>
      <c r="O5" s="135"/>
      <c r="P5" s="136"/>
      <c r="Q5" s="134" t="s">
        <v>54</v>
      </c>
      <c r="R5" s="135"/>
      <c r="S5" s="135"/>
      <c r="T5" s="135"/>
      <c r="U5" s="136"/>
      <c r="V5" s="130" t="s">
        <v>57</v>
      </c>
    </row>
    <row r="6" spans="1:22" ht="150">
      <c r="A6" s="133"/>
      <c r="B6" s="25" t="s">
        <v>43</v>
      </c>
      <c r="C6" s="25" t="s">
        <v>76</v>
      </c>
      <c r="D6" s="25" t="s">
        <v>26</v>
      </c>
      <c r="E6" s="25" t="s">
        <v>27</v>
      </c>
      <c r="F6" s="25" t="s">
        <v>44</v>
      </c>
      <c r="G6" s="25" t="s">
        <v>76</v>
      </c>
      <c r="H6" s="25" t="s">
        <v>26</v>
      </c>
      <c r="I6" s="25" t="s">
        <v>29</v>
      </c>
      <c r="J6" s="25" t="s">
        <v>51</v>
      </c>
      <c r="K6" s="25" t="s">
        <v>52</v>
      </c>
      <c r="L6" s="25" t="s">
        <v>44</v>
      </c>
      <c r="M6" s="25" t="s">
        <v>76</v>
      </c>
      <c r="N6" s="25" t="s">
        <v>29</v>
      </c>
      <c r="O6" s="25" t="s">
        <v>51</v>
      </c>
      <c r="P6" s="25" t="s">
        <v>55</v>
      </c>
      <c r="Q6" s="25" t="s">
        <v>44</v>
      </c>
      <c r="R6" s="25" t="s">
        <v>76</v>
      </c>
      <c r="S6" s="25" t="s">
        <v>29</v>
      </c>
      <c r="T6" s="25" t="s">
        <v>51</v>
      </c>
      <c r="U6" s="25" t="s">
        <v>56</v>
      </c>
      <c r="V6" s="131"/>
    </row>
    <row r="7" spans="1:22" s="7" customFormat="1" ht="15">
      <c r="A7" s="26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6">
        <v>22</v>
      </c>
    </row>
    <row r="8" spans="1:22" ht="33" customHeight="1">
      <c r="A8" s="95" t="s">
        <v>61</v>
      </c>
      <c r="B8" s="27">
        <v>0.22</v>
      </c>
      <c r="C8" s="86">
        <f>SUM(Лист1!B8)</f>
        <v>1.97</v>
      </c>
      <c r="D8" s="22">
        <f>'коэфф.удорож.'!D7</f>
        <v>1.056823785351704</v>
      </c>
      <c r="E8" s="22">
        <f>D8/D15</f>
        <v>1.6082101081438973</v>
      </c>
      <c r="F8" s="27">
        <v>0.28</v>
      </c>
      <c r="G8" s="86">
        <f>SUM(C8)</f>
        <v>1.97</v>
      </c>
      <c r="H8" s="22">
        <f>'коэфф.удорож.'!D7</f>
        <v>1.056823785351704</v>
      </c>
      <c r="I8" s="22">
        <f>'коэфф.удорож.'!G7</f>
        <v>1.6690355329949238</v>
      </c>
      <c r="J8" s="22">
        <f>'коэфф.удорож.'!I7</f>
        <v>0.885031783850549</v>
      </c>
      <c r="K8" s="22">
        <f>SUM(H8*I8*J8)/(H15*I15*J15)</f>
        <v>1.790086159497176</v>
      </c>
      <c r="L8" s="42">
        <v>0.4</v>
      </c>
      <c r="M8" s="86">
        <f>SUM(G8)</f>
        <v>1.97</v>
      </c>
      <c r="N8" s="22">
        <f>SUM('коэфф.удорож.'!G7)</f>
        <v>1.6690355329949238</v>
      </c>
      <c r="O8" s="22">
        <f>SUM('коэфф.удорож.'!I7)</f>
        <v>0.885031783850549</v>
      </c>
      <c r="P8" s="22">
        <f>SUM(N8*O8)/(N15*O15)</f>
        <v>1.1130922199980382</v>
      </c>
      <c r="Q8" s="27">
        <v>0.1</v>
      </c>
      <c r="R8" s="86">
        <f>SUM(M8)</f>
        <v>1.97</v>
      </c>
      <c r="S8" s="22">
        <f>SUM('коэфф.удорож.'!G7)</f>
        <v>1.6690355329949238</v>
      </c>
      <c r="T8" s="22">
        <f>SUM('коэфф.удорож.'!I7)</f>
        <v>0.885031783850549</v>
      </c>
      <c r="U8" s="22">
        <f>SUM(S8*T8)/(S15*T15)</f>
        <v>1.1130922199980382</v>
      </c>
      <c r="V8" s="22">
        <f>(B8*E8)+(F8*K8)+(L8*P8)+(Q8*U8)</f>
        <v>1.4115764584498858</v>
      </c>
    </row>
    <row r="9" spans="1:22" ht="33" customHeight="1">
      <c r="A9" s="95" t="s">
        <v>62</v>
      </c>
      <c r="B9" s="27">
        <v>0.22</v>
      </c>
      <c r="C9" s="86">
        <f>SUM(Лист1!B9)</f>
        <v>1.673</v>
      </c>
      <c r="D9" s="22">
        <f>'коэфф.удорож.'!D8</f>
        <v>1.137921612159508</v>
      </c>
      <c r="E9" s="22">
        <f>D9/D15</f>
        <v>1.7316198445905555</v>
      </c>
      <c r="F9" s="27">
        <v>0.28</v>
      </c>
      <c r="G9" s="86">
        <f aca="true" t="shared" si="0" ref="G9:G14">SUM(C9)</f>
        <v>1.673</v>
      </c>
      <c r="H9" s="22">
        <f>'коэфф.удорож.'!D8</f>
        <v>1.137921612159508</v>
      </c>
      <c r="I9" s="22">
        <f>'коэфф.удорож.'!G8</f>
        <v>1.2731619844590556</v>
      </c>
      <c r="J9" s="22">
        <f>'коэфф.удорож.'!I8</f>
        <v>0.7879825432807998</v>
      </c>
      <c r="K9" s="22">
        <f>SUM(H9*I9*J9)/(H15*I15*J15)</f>
        <v>1.3090598713986412</v>
      </c>
      <c r="L9" s="42">
        <v>0.4</v>
      </c>
      <c r="M9" s="86">
        <f aca="true" t="shared" si="1" ref="M9:M14">SUM(G9)</f>
        <v>1.673</v>
      </c>
      <c r="N9" s="22">
        <f>SUM('коэфф.удорож.'!G8)</f>
        <v>1.2731619844590556</v>
      </c>
      <c r="O9" s="22">
        <f>SUM('коэфф.удорож.'!I8)</f>
        <v>0.7879825432807998</v>
      </c>
      <c r="P9" s="22">
        <f>SUM(N9*O9)/(N15*O15)</f>
        <v>0.7559741680531332</v>
      </c>
      <c r="Q9" s="27">
        <v>0.1</v>
      </c>
      <c r="R9" s="86">
        <f aca="true" t="shared" si="2" ref="R9:R14">SUM(M9)</f>
        <v>1.673</v>
      </c>
      <c r="S9" s="22">
        <f>SUM('коэфф.удорож.'!G8)</f>
        <v>1.2731619844590556</v>
      </c>
      <c r="T9" s="22">
        <f>SUM('коэфф.удорож.'!I8)</f>
        <v>0.7879825432807998</v>
      </c>
      <c r="U9" s="22">
        <f>SUM(S9*T9)/(S15*T15)</f>
        <v>0.7559741680531332</v>
      </c>
      <c r="V9" s="22">
        <f aca="true" t="shared" si="3" ref="V9:V15">(B9*E9)+(F9*K9)+(L9*P9)+(Q9*U9)</f>
        <v>1.1254802138281084</v>
      </c>
    </row>
    <row r="10" spans="1:22" ht="33" customHeight="1">
      <c r="A10" s="95" t="s">
        <v>63</v>
      </c>
      <c r="B10" s="27">
        <v>0.22</v>
      </c>
      <c r="C10" s="86">
        <f>SUM(Лист1!B10)</f>
        <v>1.484</v>
      </c>
      <c r="D10" s="22">
        <f>'коэфф.удорож.'!D9</f>
        <v>1.2064304967269925</v>
      </c>
      <c r="E10" s="22">
        <f>D10/D15</f>
        <v>1.8358724950193366</v>
      </c>
      <c r="F10" s="27">
        <v>0.28</v>
      </c>
      <c r="G10" s="86">
        <f t="shared" si="0"/>
        <v>1.484</v>
      </c>
      <c r="H10" s="22">
        <f>'коэфф.удорож.'!D9</f>
        <v>1.2064304967269925</v>
      </c>
      <c r="I10" s="22">
        <f>'коэфф.удорож.'!G9</f>
        <v>2</v>
      </c>
      <c r="J10" s="22">
        <f>'коэфф.удорож.'!I9</f>
        <v>0.6241824391588273</v>
      </c>
      <c r="K10" s="22">
        <f>SUM(H10*I10*J10)/(H15*I15*J15)</f>
        <v>1.726993702244878</v>
      </c>
      <c r="L10" s="42">
        <v>0.4</v>
      </c>
      <c r="M10" s="86">
        <f t="shared" si="1"/>
        <v>1.484</v>
      </c>
      <c r="N10" s="22">
        <f>SUM('коэфф.удорож.'!G9)</f>
        <v>2</v>
      </c>
      <c r="O10" s="22">
        <f>SUM('коэфф.удорож.'!I9)</f>
        <v>0.6241824391588273</v>
      </c>
      <c r="P10" s="22">
        <f>SUM(N10*O10)/(N15*O15)</f>
        <v>0.9406937066327629</v>
      </c>
      <c r="Q10" s="27">
        <v>0.1</v>
      </c>
      <c r="R10" s="86">
        <f t="shared" si="2"/>
        <v>1.484</v>
      </c>
      <c r="S10" s="22">
        <f>SUM('коэфф.удорож.'!G9)</f>
        <v>2</v>
      </c>
      <c r="T10" s="22">
        <f>SUM('коэфф.удорож.'!I9)</f>
        <v>0.6241824391588273</v>
      </c>
      <c r="U10" s="22">
        <f>SUM(S10*T10)/(S15*T15)</f>
        <v>0.9406937066327629</v>
      </c>
      <c r="V10" s="22">
        <f t="shared" si="3"/>
        <v>1.3577970388492013</v>
      </c>
    </row>
    <row r="11" spans="1:22" ht="33" customHeight="1">
      <c r="A11" s="95" t="s">
        <v>64</v>
      </c>
      <c r="B11" s="27">
        <v>0.22</v>
      </c>
      <c r="C11" s="86">
        <f>SUM(Лист1!B11)</f>
        <v>2.917</v>
      </c>
      <c r="D11" s="22">
        <f>'коэфф.удорож.'!D10</f>
        <v>0.9085165776972427</v>
      </c>
      <c r="E11" s="22">
        <f>D11/D15</f>
        <v>1.3825252269305868</v>
      </c>
      <c r="F11" s="27">
        <v>0.28</v>
      </c>
      <c r="G11" s="86">
        <f t="shared" si="0"/>
        <v>2.917</v>
      </c>
      <c r="H11" s="22">
        <f>'коэфф.удорож.'!D10</f>
        <v>0.9085165776972427</v>
      </c>
      <c r="I11" s="22">
        <f>'коэфф.удорож.'!G10</f>
        <v>1.2211175865615358</v>
      </c>
      <c r="J11" s="22">
        <f>'коэфф.удорож.'!I10</f>
        <v>0.8938060193250182</v>
      </c>
      <c r="K11" s="22">
        <f>SUM(H11*I11*J11)/(H15*I15*J15)</f>
        <v>1.13705251360048</v>
      </c>
      <c r="L11" s="42">
        <v>0.4</v>
      </c>
      <c r="M11" s="86">
        <f t="shared" si="1"/>
        <v>2.917</v>
      </c>
      <c r="N11" s="22">
        <f>SUM('коэфф.удорож.'!G10)</f>
        <v>1.2211175865615358</v>
      </c>
      <c r="O11" s="22">
        <f>SUM('коэфф.удорож.'!I10)</f>
        <v>0.8938060193250182</v>
      </c>
      <c r="P11" s="22">
        <f>SUM(N11*O11)/(N15*O15)</f>
        <v>0.8224461235509655</v>
      </c>
      <c r="Q11" s="27">
        <v>0.1</v>
      </c>
      <c r="R11" s="86">
        <f t="shared" si="2"/>
        <v>2.917</v>
      </c>
      <c r="S11" s="22">
        <f>SUM('коэфф.удорож.'!G10)</f>
        <v>1.2211175865615358</v>
      </c>
      <c r="T11" s="22">
        <f>SUM('коэфф.удорож.'!I10)</f>
        <v>0.8938060193250182</v>
      </c>
      <c r="U11" s="22">
        <f>SUM(S11*T11)/(S15*T15)</f>
        <v>0.8224461235509655</v>
      </c>
      <c r="V11" s="22">
        <f t="shared" si="3"/>
        <v>1.0337533155083465</v>
      </c>
    </row>
    <row r="12" spans="1:22" s="31" customFormat="1" ht="33" customHeight="1">
      <c r="A12" s="95" t="s">
        <v>65</v>
      </c>
      <c r="B12" s="27">
        <v>0.22</v>
      </c>
      <c r="C12" s="86">
        <f>SUM(Лист1!B12)</f>
        <v>1.212</v>
      </c>
      <c r="D12" s="22">
        <f>'коэфф.удорож.'!D11</f>
        <v>1.3425271098538425</v>
      </c>
      <c r="E12" s="22">
        <f>D12/D15</f>
        <v>2.042976036734108</v>
      </c>
      <c r="F12" s="27">
        <v>0.28</v>
      </c>
      <c r="G12" s="86">
        <f t="shared" si="0"/>
        <v>1.212</v>
      </c>
      <c r="H12" s="22">
        <f>'коэфф.удорож.'!D11</f>
        <v>1.3425271098538425</v>
      </c>
      <c r="I12" s="22">
        <f>'коэфф.удорож.'!G11</f>
        <v>1.557755775577558</v>
      </c>
      <c r="J12" s="22">
        <f>'коэфф.удорож.'!I11</f>
        <v>1.0441895128301766</v>
      </c>
      <c r="K12" s="22">
        <f>SUM(H12*I12*J12)/(H15*I15*J15)</f>
        <v>2.504082693619147</v>
      </c>
      <c r="L12" s="42">
        <v>0.4</v>
      </c>
      <c r="M12" s="86">
        <f t="shared" si="1"/>
        <v>1.212</v>
      </c>
      <c r="N12" s="22">
        <f>SUM('коэфф.удорож.'!G11)</f>
        <v>1.557755775577558</v>
      </c>
      <c r="O12" s="22">
        <f>SUM('коэфф.удорож.'!I11)</f>
        <v>1.0441895128301766</v>
      </c>
      <c r="P12" s="22">
        <f>SUM(N12*O12)/(N15*O15)</f>
        <v>1.2257034094350716</v>
      </c>
      <c r="Q12" s="27">
        <v>0.1</v>
      </c>
      <c r="R12" s="86">
        <f t="shared" si="2"/>
        <v>1.212</v>
      </c>
      <c r="S12" s="22">
        <f>SUM('коэфф.удорож.'!G11)</f>
        <v>1.557755775577558</v>
      </c>
      <c r="T12" s="22">
        <f>SUM('коэфф.удорож.'!I11)</f>
        <v>1.0441895128301766</v>
      </c>
      <c r="U12" s="22">
        <f>SUM(S12*T12)/(S15*T15)</f>
        <v>1.2257034094350716</v>
      </c>
      <c r="V12" s="22">
        <f t="shared" si="3"/>
        <v>1.763449587012401</v>
      </c>
    </row>
    <row r="13" spans="1:22" ht="33" customHeight="1">
      <c r="A13" s="95" t="s">
        <v>66</v>
      </c>
      <c r="B13" s="27">
        <v>0.22</v>
      </c>
      <c r="C13" s="86">
        <f>SUM(Лист1!B13)</f>
        <v>0.571</v>
      </c>
      <c r="D13" s="22">
        <f>'коэфф.удорож.'!D12</f>
        <v>2.1760820615461594</v>
      </c>
      <c r="E13" s="22">
        <f>D13/D15</f>
        <v>3.311429224091982</v>
      </c>
      <c r="F13" s="27">
        <v>0.28</v>
      </c>
      <c r="G13" s="86">
        <f t="shared" si="0"/>
        <v>0.571</v>
      </c>
      <c r="H13" s="22">
        <f>'коэфф.удорож.'!D12</f>
        <v>2.1760820615461594</v>
      </c>
      <c r="I13" s="22">
        <f>'коэфф.удорож.'!G12</f>
        <v>2</v>
      </c>
      <c r="J13" s="22">
        <f>'коэфф.удорож.'!I12</f>
        <v>0.8793898999745139</v>
      </c>
      <c r="K13" s="22">
        <f>SUM(H13*I13*J13)/(H15*I15*J15)</f>
        <v>4.388677247406698</v>
      </c>
      <c r="L13" s="42">
        <v>0.4</v>
      </c>
      <c r="M13" s="86">
        <f t="shared" si="1"/>
        <v>0.571</v>
      </c>
      <c r="N13" s="22">
        <f>SUM('коэфф.удорож.'!G12)</f>
        <v>2</v>
      </c>
      <c r="O13" s="22">
        <f>SUM('коэфф.удорож.'!I12)</f>
        <v>0.8793898999745139</v>
      </c>
      <c r="P13" s="22">
        <f>SUM(N13*O13)/(N15*O15)</f>
        <v>1.3253121085836</v>
      </c>
      <c r="Q13" s="27">
        <v>0.1</v>
      </c>
      <c r="R13" s="86">
        <f t="shared" si="2"/>
        <v>0.571</v>
      </c>
      <c r="S13" s="22">
        <f>SUM('коэфф.удорож.'!G12)</f>
        <v>2</v>
      </c>
      <c r="T13" s="22">
        <f>SUM('коэфф.удорож.'!I12)</f>
        <v>0.8793898999745139</v>
      </c>
      <c r="U13" s="22">
        <f>SUM(S13*T13)/(S15*T15)</f>
        <v>1.3253121085836</v>
      </c>
      <c r="V13" s="22">
        <f t="shared" si="3"/>
        <v>2.620000112865912</v>
      </c>
    </row>
    <row r="14" spans="1:22" ht="45.75" customHeight="1">
      <c r="A14" s="95" t="s">
        <v>67</v>
      </c>
      <c r="B14" s="27">
        <v>0.22</v>
      </c>
      <c r="C14" s="86">
        <f>SUM(Лист1!B14)</f>
        <v>5.922</v>
      </c>
      <c r="D14" s="22">
        <f>'коэфф.удорож.'!D13</f>
        <v>0.7519660346408067</v>
      </c>
      <c r="E14" s="22">
        <f>D14/D15</f>
        <v>1.1442961396707927</v>
      </c>
      <c r="F14" s="27">
        <v>0.28</v>
      </c>
      <c r="G14" s="86">
        <f t="shared" si="0"/>
        <v>5.922</v>
      </c>
      <c r="H14" s="22">
        <f>'коэфф.удорож.'!D13</f>
        <v>0.7519660346408067</v>
      </c>
      <c r="I14" s="22">
        <f>'коэфф.удорож.'!G13</f>
        <v>1</v>
      </c>
      <c r="J14" s="22">
        <f>'коэфф.удорож.'!I13</f>
        <v>0.4689811651779313</v>
      </c>
      <c r="K14" s="22">
        <f>SUM(H14*I14*J14)/(H15*I15*J15)</f>
        <v>0.40439011496186267</v>
      </c>
      <c r="L14" s="42">
        <v>0.4</v>
      </c>
      <c r="M14" s="86">
        <f t="shared" si="1"/>
        <v>5.922</v>
      </c>
      <c r="N14" s="22">
        <f>SUM('коэфф.удорож.'!G13)</f>
        <v>1</v>
      </c>
      <c r="O14" s="22">
        <f>SUM('коэфф.удорож.'!I13)</f>
        <v>0.4689811651779313</v>
      </c>
      <c r="P14" s="22">
        <f>SUM(N14*O14)/(N15*O15)</f>
        <v>0.35339638135824114</v>
      </c>
      <c r="Q14" s="27">
        <v>0.1</v>
      </c>
      <c r="R14" s="86">
        <f t="shared" si="2"/>
        <v>5.922</v>
      </c>
      <c r="S14" s="22">
        <f>SUM('коэфф.удорож.'!G13)</f>
        <v>1</v>
      </c>
      <c r="T14" s="22">
        <f>SUM('коэфф.удорож.'!I13)</f>
        <v>0.4689811651779313</v>
      </c>
      <c r="U14" s="22">
        <f>SUM(S14*T14)/(S15*T15)</f>
        <v>0.35339638135824114</v>
      </c>
      <c r="V14" s="22">
        <f t="shared" si="3"/>
        <v>0.5416725735960165</v>
      </c>
    </row>
    <row r="15" spans="1:22" ht="28.5">
      <c r="A15" s="43" t="s">
        <v>25</v>
      </c>
      <c r="B15" s="28">
        <v>0.22</v>
      </c>
      <c r="C15" s="28">
        <f>SUM(C8:C14)</f>
        <v>15.748999999999999</v>
      </c>
      <c r="D15" s="29">
        <f>'коэфф.удорож.'!D14</f>
        <v>0.6571428571428571</v>
      </c>
      <c r="E15" s="29">
        <f>D15/D15</f>
        <v>1</v>
      </c>
      <c r="F15" s="28">
        <v>0.28</v>
      </c>
      <c r="G15" s="28">
        <f>SUM(G8:G14)</f>
        <v>15.748999999999999</v>
      </c>
      <c r="H15" s="29">
        <f>'коэфф.удорож.'!D14</f>
        <v>0.6571428571428571</v>
      </c>
      <c r="I15" s="29">
        <f>'коэфф.удорож.'!G14</f>
        <v>1.3270683852943044</v>
      </c>
      <c r="J15" s="29">
        <v>1</v>
      </c>
      <c r="K15" s="29">
        <f>SUM(H15*I15*J15)/(H15*I15*J15)</f>
        <v>1</v>
      </c>
      <c r="L15" s="44">
        <v>0.4</v>
      </c>
      <c r="M15" s="28">
        <f>SUM(M8:M14)</f>
        <v>15.748999999999999</v>
      </c>
      <c r="N15" s="29">
        <f>SUM('коэфф.удорож.'!G14)</f>
        <v>1.3270683852943044</v>
      </c>
      <c r="O15" s="29">
        <v>1</v>
      </c>
      <c r="P15" s="29">
        <f>SUM(N15*O15)/(N15*O15)</f>
        <v>1</v>
      </c>
      <c r="Q15" s="28">
        <v>0.1</v>
      </c>
      <c r="R15" s="28">
        <f>SUM(R8:R14)</f>
        <v>15.748999999999999</v>
      </c>
      <c r="S15" s="29">
        <f>SUM('коэфф.удорож.'!G14)</f>
        <v>1.3270683852943044</v>
      </c>
      <c r="T15" s="29">
        <v>1</v>
      </c>
      <c r="U15" s="29">
        <v>1</v>
      </c>
      <c r="V15" s="29">
        <f t="shared" si="3"/>
        <v>1</v>
      </c>
    </row>
    <row r="16" spans="1:22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9:20" ht="15">
      <c r="I17" s="45"/>
      <c r="J17" s="45"/>
      <c r="N17" s="45"/>
      <c r="O17" s="45"/>
      <c r="S17" s="45"/>
      <c r="T17" s="45"/>
    </row>
  </sheetData>
  <sheetProtection/>
  <mergeCells count="7">
    <mergeCell ref="A2:V2"/>
    <mergeCell ref="V5:V6"/>
    <mergeCell ref="A5:A6"/>
    <mergeCell ref="B5:E5"/>
    <mergeCell ref="F5:K5"/>
    <mergeCell ref="Q5:U5"/>
    <mergeCell ref="L5:P5"/>
  </mergeCells>
  <printOptions/>
  <pageMargins left="0.32" right="0.34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zoomScale="75" zoomScaleNormal="75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:X16384"/>
    </sheetView>
  </sheetViews>
  <sheetFormatPr defaultColWidth="19.57421875" defaultRowHeight="15"/>
  <cols>
    <col min="1" max="1" width="21.00390625" style="1" customWidth="1"/>
    <col min="2" max="2" width="15.57421875" style="46" customWidth="1"/>
    <col min="3" max="3" width="19.8515625" style="1" customWidth="1"/>
    <col min="4" max="4" width="16.140625" style="1" customWidth="1"/>
    <col min="5" max="5" width="17.421875" style="46" customWidth="1"/>
    <col min="6" max="6" width="15.421875" style="1" customWidth="1"/>
    <col min="7" max="7" width="15.140625" style="46" customWidth="1"/>
    <col min="8" max="8" width="14.7109375" style="46" customWidth="1"/>
    <col min="9" max="9" width="15.57421875" style="2" customWidth="1"/>
    <col min="10" max="10" width="17.8515625" style="1" customWidth="1"/>
    <col min="11" max="11" width="21.421875" style="1" customWidth="1"/>
    <col min="12" max="12" width="15.140625" style="1" customWidth="1"/>
    <col min="13" max="13" width="13.421875" style="1" customWidth="1"/>
    <col min="14" max="14" width="20.421875" style="1" customWidth="1"/>
    <col min="15" max="15" width="19.7109375" style="1" customWidth="1"/>
    <col min="16" max="16" width="20.140625" style="1" customWidth="1"/>
    <col min="17" max="17" width="21.57421875" style="46" customWidth="1"/>
    <col min="18" max="18" width="18.57421875" style="46" customWidth="1"/>
    <col min="19" max="19" width="20.28125" style="1" customWidth="1"/>
    <col min="20" max="20" width="14.140625" style="1" customWidth="1"/>
    <col min="21" max="21" width="24.421875" style="1" customWidth="1"/>
    <col min="22" max="22" width="11.00390625" style="1" customWidth="1"/>
    <col min="23" max="23" width="18.00390625" style="1" customWidth="1"/>
    <col min="24" max="24" width="15.7109375" style="124" customWidth="1"/>
    <col min="25" max="25" width="17.7109375" style="2" customWidth="1"/>
    <col min="26" max="26" width="12.7109375" style="94" hidden="1" customWidth="1"/>
    <col min="27" max="27" width="12.140625" style="2" hidden="1" customWidth="1"/>
    <col min="28" max="28" width="12.28125" style="94" hidden="1" customWidth="1"/>
    <col min="29" max="29" width="12.57421875" style="1" customWidth="1"/>
    <col min="30" max="16384" width="19.57421875" style="1" customWidth="1"/>
  </cols>
  <sheetData>
    <row r="1" spans="2:28" s="47" customFormat="1" ht="18.75">
      <c r="B1" s="48"/>
      <c r="E1" s="48"/>
      <c r="G1" s="48"/>
      <c r="H1" s="48"/>
      <c r="Q1" s="48"/>
      <c r="R1" s="48"/>
      <c r="X1" s="118"/>
      <c r="Z1" s="91"/>
      <c r="AB1" s="91"/>
    </row>
    <row r="2" spans="2:28" s="47" customFormat="1" ht="18.75">
      <c r="B2" s="48"/>
      <c r="E2" s="48"/>
      <c r="G2" s="48"/>
      <c r="H2" s="48"/>
      <c r="Q2" s="48"/>
      <c r="R2" s="48"/>
      <c r="X2" s="118"/>
      <c r="Z2" s="91"/>
      <c r="AB2" s="91"/>
    </row>
    <row r="3" spans="1:28" s="49" customFormat="1" ht="30" customHeight="1">
      <c r="A3" s="137" t="s">
        <v>77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92"/>
      <c r="AB3" s="92"/>
    </row>
    <row r="4" spans="2:28" s="50" customFormat="1" ht="18.75">
      <c r="B4" s="51"/>
      <c r="E4" s="51"/>
      <c r="G4" s="51"/>
      <c r="H4" s="51"/>
      <c r="Q4" s="51"/>
      <c r="R4" s="51"/>
      <c r="X4" s="119"/>
      <c r="Z4" s="93"/>
      <c r="AB4" s="93"/>
    </row>
    <row r="5" spans="1:28" s="54" customFormat="1" ht="200.25" customHeight="1">
      <c r="A5" s="52" t="s">
        <v>0</v>
      </c>
      <c r="B5" s="53" t="s">
        <v>75</v>
      </c>
      <c r="C5" s="52" t="s">
        <v>16</v>
      </c>
      <c r="D5" s="52" t="s">
        <v>1</v>
      </c>
      <c r="E5" s="53" t="s">
        <v>35</v>
      </c>
      <c r="F5" s="52" t="s">
        <v>36</v>
      </c>
      <c r="G5" s="53" t="s">
        <v>38</v>
      </c>
      <c r="H5" s="53" t="s">
        <v>2</v>
      </c>
      <c r="I5" s="52" t="s">
        <v>3</v>
      </c>
      <c r="J5" s="52" t="s">
        <v>6</v>
      </c>
      <c r="K5" s="52" t="s">
        <v>33</v>
      </c>
      <c r="L5" s="52" t="s">
        <v>17</v>
      </c>
      <c r="M5" s="52" t="s">
        <v>4</v>
      </c>
      <c r="N5" s="52" t="s">
        <v>31</v>
      </c>
      <c r="O5" s="52" t="s">
        <v>7</v>
      </c>
      <c r="P5" s="52" t="s">
        <v>8</v>
      </c>
      <c r="Q5" s="53" t="s">
        <v>32</v>
      </c>
      <c r="R5" s="53" t="s">
        <v>9</v>
      </c>
      <c r="S5" s="52" t="s">
        <v>10</v>
      </c>
      <c r="T5" s="52" t="s">
        <v>11</v>
      </c>
      <c r="U5" s="52" t="s">
        <v>60</v>
      </c>
      <c r="V5" s="52" t="s">
        <v>12</v>
      </c>
      <c r="W5" s="52" t="s">
        <v>59</v>
      </c>
      <c r="X5" s="120" t="s">
        <v>13</v>
      </c>
      <c r="Y5" s="52" t="s">
        <v>14</v>
      </c>
      <c r="Z5" s="96">
        <v>2021</v>
      </c>
      <c r="AA5" s="52" t="s">
        <v>69</v>
      </c>
      <c r="AB5" s="96"/>
    </row>
    <row r="6" spans="1:28" s="57" customFormat="1" ht="18.75">
      <c r="A6" s="55">
        <v>1</v>
      </c>
      <c r="B6" s="56">
        <v>2</v>
      </c>
      <c r="C6" s="55">
        <v>3</v>
      </c>
      <c r="D6" s="55">
        <v>4</v>
      </c>
      <c r="E6" s="56" t="s">
        <v>34</v>
      </c>
      <c r="F6" s="55" t="s">
        <v>37</v>
      </c>
      <c r="G6" s="56">
        <v>5</v>
      </c>
      <c r="H6" s="56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5">
        <v>13</v>
      </c>
      <c r="P6" s="55">
        <v>14</v>
      </c>
      <c r="Q6" s="56">
        <v>15</v>
      </c>
      <c r="R6" s="56">
        <v>16</v>
      </c>
      <c r="S6" s="55">
        <v>17</v>
      </c>
      <c r="T6" s="55">
        <v>18</v>
      </c>
      <c r="U6" s="55">
        <v>19</v>
      </c>
      <c r="V6" s="55">
        <v>20</v>
      </c>
      <c r="W6" s="55">
        <v>21</v>
      </c>
      <c r="X6" s="121">
        <v>22</v>
      </c>
      <c r="Y6" s="55">
        <v>23</v>
      </c>
      <c r="Z6" s="97"/>
      <c r="AA6" s="55"/>
      <c r="AB6" s="97"/>
    </row>
    <row r="7" spans="1:28" s="65" customFormat="1" ht="34.5" customHeight="1">
      <c r="A7" s="95" t="s">
        <v>61</v>
      </c>
      <c r="B7" s="33">
        <f>SUM(Лист1!B8)</f>
        <v>1.97</v>
      </c>
      <c r="C7" s="58">
        <v>3944.8</v>
      </c>
      <c r="D7" s="58">
        <f aca="true" t="shared" si="0" ref="D7:D13">C7/B7</f>
        <v>2002.4365482233504</v>
      </c>
      <c r="E7" s="59">
        <f aca="true" t="shared" si="1" ref="E7:E13">Q7+R7</f>
        <v>1715.9567877325544</v>
      </c>
      <c r="F7" s="61">
        <f aca="true" t="shared" si="2" ref="F7:F13">E7/B7</f>
        <v>871.0440546865758</v>
      </c>
      <c r="G7" s="59">
        <f>F7/F14</f>
        <v>0.6341689444002889</v>
      </c>
      <c r="H7" s="87">
        <f>'индекс бюдж.расх.'!V8</f>
        <v>1.4115764584498858</v>
      </c>
      <c r="I7" s="61">
        <f aca="true" t="shared" si="3" ref="I7:I13">G7/H7</f>
        <v>0.44926290786734835</v>
      </c>
      <c r="J7" s="60"/>
      <c r="K7" s="58">
        <f aca="true" t="shared" si="4" ref="K7:K12">$D$14*($J$14-I7)*H7*B7</f>
        <v>4745.394314114534</v>
      </c>
      <c r="L7" s="60">
        <v>0.3</v>
      </c>
      <c r="M7" s="58">
        <f aca="true" t="shared" si="5" ref="M7:M13">K7*L7</f>
        <v>1423.61829423436</v>
      </c>
      <c r="N7" s="61">
        <f aca="true" t="shared" si="6" ref="N7:N12">Q7+R7+M7</f>
        <v>3139.5750819669147</v>
      </c>
      <c r="O7" s="58">
        <f aca="true" t="shared" si="7" ref="O7:O13">N7/B7</f>
        <v>1593.6929350085861</v>
      </c>
      <c r="P7" s="62">
        <f aca="true" t="shared" si="8" ref="P7:P13">I7+M7/(H7*B7*$O$14)</f>
        <v>0.9811885813392578</v>
      </c>
      <c r="Q7" s="63">
        <v>963.9</v>
      </c>
      <c r="R7" s="63">
        <f>SUM(Лист1!G8)</f>
        <v>752.0567877325544</v>
      </c>
      <c r="S7" s="83">
        <f aca="true" t="shared" si="9" ref="S7:S13">(Q7+R7+M7)/B7</f>
        <v>1593.6929350085861</v>
      </c>
      <c r="T7" s="64" t="s">
        <v>5</v>
      </c>
      <c r="U7" s="61">
        <f aca="true" t="shared" si="10" ref="U7:U12">S$14*(T$14-P7)*H7*B7</f>
        <v>93.90631603407346</v>
      </c>
      <c r="V7" s="89" t="s">
        <v>5</v>
      </c>
      <c r="W7" s="61">
        <f aca="true" t="shared" si="11" ref="W7:W13">(V$14-M$14)*U7/U$14</f>
        <v>-82.85774315987398</v>
      </c>
      <c r="X7" s="122">
        <v>1482.673</v>
      </c>
      <c r="Y7" s="60">
        <f aca="true" t="shared" si="12" ref="Y7:Y13">I7+X7/(B7*H7*S$14)</f>
        <v>0.7462736278902534</v>
      </c>
      <c r="Z7" s="101">
        <v>1491.756</v>
      </c>
      <c r="AA7" s="58">
        <f aca="true" t="shared" si="13" ref="AA7:AA13">SUM(X7-Z7)</f>
        <v>-9.083000000000084</v>
      </c>
      <c r="AB7" s="98"/>
    </row>
    <row r="8" spans="1:28" s="65" customFormat="1" ht="34.5" customHeight="1">
      <c r="A8" s="95" t="s">
        <v>62</v>
      </c>
      <c r="B8" s="33">
        <f>SUM(Лист1!B9)</f>
        <v>1.673</v>
      </c>
      <c r="C8" s="58">
        <v>5887.6</v>
      </c>
      <c r="D8" s="58">
        <f t="shared" si="0"/>
        <v>3519.187089061566</v>
      </c>
      <c r="E8" s="59">
        <f t="shared" si="1"/>
        <v>1705.1456375007938</v>
      </c>
      <c r="F8" s="61">
        <f t="shared" si="2"/>
        <v>1019.214367902447</v>
      </c>
      <c r="G8" s="59">
        <f>F8/F14</f>
        <v>0.7420452459696513</v>
      </c>
      <c r="H8" s="87">
        <f>'индекс бюдж.расх.'!V9</f>
        <v>1.1254802138281084</v>
      </c>
      <c r="I8" s="61">
        <f t="shared" si="3"/>
        <v>0.6593143414274024</v>
      </c>
      <c r="J8" s="60">
        <v>0.66</v>
      </c>
      <c r="K8" s="58">
        <f t="shared" si="4"/>
        <v>2084.9787238753074</v>
      </c>
      <c r="L8" s="60">
        <v>0.3</v>
      </c>
      <c r="M8" s="58">
        <f t="shared" si="5"/>
        <v>625.4936171625922</v>
      </c>
      <c r="N8" s="61">
        <f t="shared" si="6"/>
        <v>2330.639254663386</v>
      </c>
      <c r="O8" s="58">
        <f t="shared" si="7"/>
        <v>1393.0898115142772</v>
      </c>
      <c r="P8" s="62">
        <f t="shared" si="8"/>
        <v>1.0044716721643938</v>
      </c>
      <c r="Q8" s="63">
        <v>1066.47</v>
      </c>
      <c r="R8" s="63">
        <f>SUM(Лист1!G9)</f>
        <v>638.6756375007939</v>
      </c>
      <c r="S8" s="83">
        <f t="shared" si="9"/>
        <v>1393.0898115142772</v>
      </c>
      <c r="T8" s="64" t="s">
        <v>5</v>
      </c>
      <c r="U8" s="61">
        <f t="shared" si="10"/>
        <v>-15.114938449837204</v>
      </c>
      <c r="V8" s="89" t="s">
        <v>5</v>
      </c>
      <c r="W8" s="61">
        <f t="shared" si="11"/>
        <v>13.336586300536926</v>
      </c>
      <c r="X8" s="122">
        <v>0</v>
      </c>
      <c r="Y8" s="60">
        <f t="shared" si="12"/>
        <v>0.6593143414274024</v>
      </c>
      <c r="Z8" s="101">
        <v>620.465</v>
      </c>
      <c r="AA8" s="58">
        <f t="shared" si="13"/>
        <v>-620.465</v>
      </c>
      <c r="AB8" s="98"/>
    </row>
    <row r="9" spans="1:28" s="65" customFormat="1" ht="34.5" customHeight="1">
      <c r="A9" s="95" t="s">
        <v>63</v>
      </c>
      <c r="B9" s="33">
        <f>SUM(Лист1!B10)</f>
        <v>1.484</v>
      </c>
      <c r="C9" s="58">
        <v>4147.5</v>
      </c>
      <c r="D9" s="58">
        <f t="shared" si="0"/>
        <v>2794.811320754717</v>
      </c>
      <c r="E9" s="59">
        <f t="shared" si="1"/>
        <v>1481.1439964442188</v>
      </c>
      <c r="F9" s="61">
        <f t="shared" si="2"/>
        <v>998.0754693020342</v>
      </c>
      <c r="G9" s="59">
        <f>F9/F14</f>
        <v>0.7266549417260477</v>
      </c>
      <c r="H9" s="87">
        <f>'индекс бюдж.расх.'!V10</f>
        <v>1.3577970388492013</v>
      </c>
      <c r="I9" s="61">
        <f t="shared" si="3"/>
        <v>0.5351719888429886</v>
      </c>
      <c r="J9" s="60"/>
      <c r="K9" s="58">
        <f t="shared" si="4"/>
        <v>2944.728063106933</v>
      </c>
      <c r="L9" s="60">
        <v>0.3</v>
      </c>
      <c r="M9" s="58">
        <f t="shared" si="5"/>
        <v>883.4184189320798</v>
      </c>
      <c r="N9" s="61">
        <f t="shared" si="6"/>
        <v>2364.5624153762988</v>
      </c>
      <c r="O9" s="58">
        <f t="shared" si="7"/>
        <v>1593.370899849258</v>
      </c>
      <c r="P9" s="62">
        <f t="shared" si="8"/>
        <v>0.9907111487464826</v>
      </c>
      <c r="Q9" s="63">
        <v>914.62</v>
      </c>
      <c r="R9" s="63">
        <f>SUM(Лист1!G10)</f>
        <v>566.5239964442187</v>
      </c>
      <c r="S9" s="83">
        <f t="shared" si="9"/>
        <v>1593.370899849258</v>
      </c>
      <c r="T9" s="64" t="s">
        <v>5</v>
      </c>
      <c r="U9" s="61">
        <f t="shared" si="10"/>
        <v>33.5995443540871</v>
      </c>
      <c r="V9" s="89" t="s">
        <v>5</v>
      </c>
      <c r="W9" s="61">
        <f t="shared" si="11"/>
        <v>-29.6463809246823</v>
      </c>
      <c r="X9" s="122">
        <v>904.548</v>
      </c>
      <c r="Y9" s="60">
        <f t="shared" si="12"/>
        <v>0.785241208089547</v>
      </c>
      <c r="Z9" s="101">
        <v>1111.202</v>
      </c>
      <c r="AA9" s="58">
        <f t="shared" si="13"/>
        <v>-206.654</v>
      </c>
      <c r="AB9" s="98"/>
    </row>
    <row r="10" spans="1:28" s="65" customFormat="1" ht="34.5" customHeight="1">
      <c r="A10" s="95" t="s">
        <v>64</v>
      </c>
      <c r="B10" s="33">
        <f>SUM(Лист1!B11)</f>
        <v>2.917</v>
      </c>
      <c r="C10" s="58">
        <v>4239.8</v>
      </c>
      <c r="D10" s="58">
        <f t="shared" si="0"/>
        <v>1453.4796023311624</v>
      </c>
      <c r="E10" s="59">
        <f t="shared" si="1"/>
        <v>2210.3785024445997</v>
      </c>
      <c r="F10" s="61">
        <f t="shared" si="2"/>
        <v>757.7574571287623</v>
      </c>
      <c r="G10" s="59">
        <f>F10/F14</f>
        <v>0.5516899450874587</v>
      </c>
      <c r="H10" s="87">
        <f>'индекс бюдж.расх.'!V11</f>
        <v>1.0337533155083465</v>
      </c>
      <c r="I10" s="61">
        <f t="shared" si="3"/>
        <v>0.5336765907407669</v>
      </c>
      <c r="J10" s="60"/>
      <c r="K10" s="58">
        <f t="shared" si="4"/>
        <v>4419.728244347517</v>
      </c>
      <c r="L10" s="60">
        <v>0.3</v>
      </c>
      <c r="M10" s="58">
        <f t="shared" si="5"/>
        <v>1325.918473304255</v>
      </c>
      <c r="N10" s="61">
        <f t="shared" si="6"/>
        <v>3536.2969757488545</v>
      </c>
      <c r="O10" s="58">
        <f t="shared" si="7"/>
        <v>1212.3061281278212</v>
      </c>
      <c r="P10" s="62">
        <f t="shared" si="8"/>
        <v>0.9905453917733276</v>
      </c>
      <c r="Q10" s="63">
        <f>1296.8-200</f>
        <v>1096.8</v>
      </c>
      <c r="R10" s="63">
        <f>SUM(Лист1!G11)</f>
        <v>1113.5785024445997</v>
      </c>
      <c r="S10" s="83">
        <f t="shared" si="9"/>
        <v>1212.3061281278212</v>
      </c>
      <c r="T10" s="64" t="s">
        <v>5</v>
      </c>
      <c r="U10" s="61">
        <f t="shared" si="10"/>
        <v>51.17990831419526</v>
      </c>
      <c r="V10" s="89" t="s">
        <v>5</v>
      </c>
      <c r="W10" s="61">
        <f t="shared" si="11"/>
        <v>-45.15832243386898</v>
      </c>
      <c r="X10" s="122">
        <v>1358.104</v>
      </c>
      <c r="Y10" s="60">
        <f t="shared" si="12"/>
        <v>0.7845629575597427</v>
      </c>
      <c r="Z10" s="101">
        <v>1150.092</v>
      </c>
      <c r="AA10" s="58">
        <f t="shared" si="13"/>
        <v>208.01199999999994</v>
      </c>
      <c r="AB10" s="98"/>
    </row>
    <row r="11" spans="1:28" s="65" customFormat="1" ht="34.5" customHeight="1">
      <c r="A11" s="95" t="s">
        <v>65</v>
      </c>
      <c r="B11" s="33">
        <f>SUM(Лист1!B12)</f>
        <v>1.212</v>
      </c>
      <c r="C11" s="58">
        <v>1932.2</v>
      </c>
      <c r="D11" s="58">
        <f t="shared" si="0"/>
        <v>1594.2244224422443</v>
      </c>
      <c r="E11" s="59">
        <f t="shared" si="1"/>
        <v>861.5867140770843</v>
      </c>
      <c r="F11" s="61">
        <f t="shared" si="2"/>
        <v>710.8801271263071</v>
      </c>
      <c r="G11" s="59">
        <f>F11/F14</f>
        <v>0.5175606186498218</v>
      </c>
      <c r="H11" s="87">
        <f>'индекс бюдж.расх.'!V12</f>
        <v>1.763449587012401</v>
      </c>
      <c r="I11" s="61">
        <f t="shared" si="3"/>
        <v>0.29349328864380075</v>
      </c>
      <c r="J11" s="60">
        <v>0.29</v>
      </c>
      <c r="K11" s="58">
        <f t="shared" si="4"/>
        <v>4596.94402742743</v>
      </c>
      <c r="L11" s="60">
        <v>0.3</v>
      </c>
      <c r="M11" s="58">
        <f t="shared" si="5"/>
        <v>1379.083208228229</v>
      </c>
      <c r="N11" s="61">
        <f t="shared" si="6"/>
        <v>2240.6699223053133</v>
      </c>
      <c r="O11" s="58">
        <f t="shared" si="7"/>
        <v>1848.7375596578493</v>
      </c>
      <c r="P11" s="62">
        <f t="shared" si="8"/>
        <v>0.9639223426342418</v>
      </c>
      <c r="Q11" s="63">
        <v>398.9</v>
      </c>
      <c r="R11" s="63">
        <f>SUM(Лист1!G12)</f>
        <v>462.6867140770843</v>
      </c>
      <c r="S11" s="83">
        <f t="shared" si="9"/>
        <v>1848.7375596578493</v>
      </c>
      <c r="T11" s="64" t="s">
        <v>5</v>
      </c>
      <c r="U11" s="61">
        <f t="shared" si="10"/>
        <v>138.42247800818205</v>
      </c>
      <c r="V11" s="89" t="s">
        <v>5</v>
      </c>
      <c r="W11" s="61">
        <f t="shared" si="11"/>
        <v>-122.13634412187618</v>
      </c>
      <c r="X11" s="122">
        <v>1466.133</v>
      </c>
      <c r="Y11" s="60">
        <f t="shared" si="12"/>
        <v>0.675617960790651</v>
      </c>
      <c r="Z11" s="101">
        <v>1458.688</v>
      </c>
      <c r="AA11" s="58">
        <f t="shared" si="13"/>
        <v>7.444999999999936</v>
      </c>
      <c r="AB11" s="98"/>
    </row>
    <row r="12" spans="1:28" s="65" customFormat="1" ht="38.25" customHeight="1">
      <c r="A12" s="95" t="s">
        <v>66</v>
      </c>
      <c r="B12" s="33">
        <f>SUM(Лист1!B13)</f>
        <v>0.571</v>
      </c>
      <c r="C12" s="58">
        <v>1891.4</v>
      </c>
      <c r="D12" s="58">
        <f t="shared" si="0"/>
        <v>3312.434325744309</v>
      </c>
      <c r="E12" s="59">
        <f t="shared" si="1"/>
        <v>542.8319420280653</v>
      </c>
      <c r="F12" s="61">
        <f t="shared" si="2"/>
        <v>950.6689002242827</v>
      </c>
      <c r="G12" s="59">
        <f>F12/F14</f>
        <v>0.6921402995470194</v>
      </c>
      <c r="H12" s="87">
        <f>'индекс бюдж.расх.'!V13</f>
        <v>2.620000112865912</v>
      </c>
      <c r="I12" s="61">
        <f t="shared" si="3"/>
        <v>0.2641756754696912</v>
      </c>
      <c r="J12" s="83">
        <v>0.26</v>
      </c>
      <c r="K12" s="58">
        <f t="shared" si="4"/>
        <v>3342.776704220186</v>
      </c>
      <c r="L12" s="60">
        <v>0.3</v>
      </c>
      <c r="M12" s="58">
        <f t="shared" si="5"/>
        <v>1002.8330112660557</v>
      </c>
      <c r="N12" s="61">
        <f t="shared" si="6"/>
        <v>1545.664953294121</v>
      </c>
      <c r="O12" s="58">
        <f t="shared" si="7"/>
        <v>2706.9438761718407</v>
      </c>
      <c r="P12" s="62">
        <f t="shared" si="8"/>
        <v>0.9606726402221237</v>
      </c>
      <c r="Q12" s="63">
        <v>324.85</v>
      </c>
      <c r="R12" s="63">
        <f>SUM(Лист1!G13)</f>
        <v>217.98194202806528</v>
      </c>
      <c r="S12" s="83">
        <f t="shared" si="9"/>
        <v>2706.9438761718407</v>
      </c>
      <c r="T12" s="64" t="s">
        <v>5</v>
      </c>
      <c r="U12" s="61">
        <f t="shared" si="10"/>
        <v>105.61724404774658</v>
      </c>
      <c r="V12" s="89" t="s">
        <v>5</v>
      </c>
      <c r="W12" s="61">
        <f t="shared" si="11"/>
        <v>-93.19081878780744</v>
      </c>
      <c r="X12" s="122">
        <v>1069.253</v>
      </c>
      <c r="Y12" s="60">
        <f t="shared" si="12"/>
        <v>0.6623199160594524</v>
      </c>
      <c r="Z12" s="101">
        <v>1064.497</v>
      </c>
      <c r="AA12" s="58">
        <f t="shared" si="13"/>
        <v>4.755999999999858</v>
      </c>
      <c r="AB12" s="98"/>
    </row>
    <row r="13" spans="1:28" s="65" customFormat="1" ht="36.75" customHeight="1">
      <c r="A13" s="95" t="s">
        <v>67</v>
      </c>
      <c r="B13" s="33">
        <f>SUM(Лист1!B14)</f>
        <v>5.922</v>
      </c>
      <c r="C13" s="58">
        <v>22881</v>
      </c>
      <c r="D13" s="58">
        <f t="shared" si="0"/>
        <v>3863.728470111449</v>
      </c>
      <c r="E13" s="59">
        <f t="shared" si="1"/>
        <v>13114.531</v>
      </c>
      <c r="F13" s="61">
        <f t="shared" si="2"/>
        <v>2214.5442418101993</v>
      </c>
      <c r="G13" s="59">
        <f>F13/F14</f>
        <v>1.6123124618098106</v>
      </c>
      <c r="H13" s="87">
        <f>'индекс бюдж.расх.'!V14</f>
        <v>0.5416725735960165</v>
      </c>
      <c r="I13" s="61">
        <f t="shared" si="3"/>
        <v>2.976544393056691</v>
      </c>
      <c r="J13" s="83">
        <v>2.98</v>
      </c>
      <c r="K13" s="58"/>
      <c r="L13" s="60">
        <v>0.3</v>
      </c>
      <c r="M13" s="58">
        <f t="shared" si="5"/>
        <v>0</v>
      </c>
      <c r="N13" s="61">
        <v>0</v>
      </c>
      <c r="O13" s="58">
        <f t="shared" si="7"/>
        <v>0</v>
      </c>
      <c r="P13" s="62">
        <f t="shared" si="8"/>
        <v>2.976544393056691</v>
      </c>
      <c r="Q13" s="63">
        <v>10853.78</v>
      </c>
      <c r="R13" s="63">
        <f>SUM(Лист1!G14)</f>
        <v>2260.751</v>
      </c>
      <c r="S13" s="83">
        <f t="shared" si="9"/>
        <v>2214.5442418101993</v>
      </c>
      <c r="T13" s="64" t="s">
        <v>5</v>
      </c>
      <c r="U13" s="61"/>
      <c r="V13" s="89" t="s">
        <v>5</v>
      </c>
      <c r="W13" s="61">
        <f t="shared" si="11"/>
        <v>0</v>
      </c>
      <c r="X13" s="122">
        <f>M13+W13</f>
        <v>0</v>
      </c>
      <c r="Y13" s="60">
        <f t="shared" si="12"/>
        <v>2.976544393056691</v>
      </c>
      <c r="Z13" s="101"/>
      <c r="AA13" s="58">
        <f t="shared" si="13"/>
        <v>0</v>
      </c>
      <c r="AB13" s="98"/>
    </row>
    <row r="14" spans="1:28" s="74" customFormat="1" ht="36.75" customHeight="1">
      <c r="A14" s="66" t="s">
        <v>15</v>
      </c>
      <c r="B14" s="67">
        <f>SUM(B7:B13)</f>
        <v>15.748999999999999</v>
      </c>
      <c r="C14" s="68">
        <f>SUM(C7:C13)</f>
        <v>44924.3</v>
      </c>
      <c r="D14" s="68">
        <f>C14/B14</f>
        <v>2852.5176201663603</v>
      </c>
      <c r="E14" s="69">
        <f>SUM(E7:E13)</f>
        <v>21631.574580227316</v>
      </c>
      <c r="F14" s="70">
        <f>E14/B14</f>
        <v>1373.5205143328033</v>
      </c>
      <c r="G14" s="69">
        <f>F14/F14</f>
        <v>1</v>
      </c>
      <c r="H14" s="88">
        <f>'индекс бюдж.расх.'!V15</f>
        <v>1</v>
      </c>
      <c r="I14" s="70">
        <f>G14/H14</f>
        <v>1</v>
      </c>
      <c r="J14" s="84">
        <f>SUM(J7:J13)/4</f>
        <v>1.0474999999999999</v>
      </c>
      <c r="K14" s="68">
        <f>SUM(K7:K13)</f>
        <v>22134.550077091906</v>
      </c>
      <c r="L14" s="60">
        <v>0.3</v>
      </c>
      <c r="M14" s="68">
        <f>SUM(M7:M13)</f>
        <v>6640.365023127572</v>
      </c>
      <c r="N14" s="70">
        <f>SUM(N7:N13)</f>
        <v>15157.408603354888</v>
      </c>
      <c r="O14" s="68">
        <f>N14/B14</f>
        <v>962.4362564832618</v>
      </c>
      <c r="P14" s="71">
        <v>1</v>
      </c>
      <c r="Q14" s="72">
        <f>SUM(Q7:Q13)</f>
        <v>15619.32</v>
      </c>
      <c r="R14" s="72">
        <f>SUM(R7:R13)</f>
        <v>6012.254580227316</v>
      </c>
      <c r="S14" s="84">
        <f>(Q14+R14+M14)/B14</f>
        <v>1795.157762610635</v>
      </c>
      <c r="T14" s="73">
        <v>1</v>
      </c>
      <c r="U14" s="70">
        <f>SUM(U7:U13)</f>
        <v>407.6105523084472</v>
      </c>
      <c r="V14" s="70">
        <v>6280.712</v>
      </c>
      <c r="W14" s="61">
        <f>SUM(W7:W13)</f>
        <v>-359.65302312757194</v>
      </c>
      <c r="X14" s="122">
        <f>M14+W14</f>
        <v>6280.712</v>
      </c>
      <c r="Y14" s="73">
        <f>SUM(Y7:Y13)/7</f>
        <v>1.0414106292676772</v>
      </c>
      <c r="Z14" s="102">
        <f>SUM(Z7:Z13)</f>
        <v>6896.7</v>
      </c>
      <c r="AA14" s="58"/>
      <c r="AB14" s="99">
        <f>SUM(AB7:AB13)</f>
        <v>0</v>
      </c>
    </row>
    <row r="15" spans="2:28" s="75" customFormat="1" ht="18.75">
      <c r="B15" s="51"/>
      <c r="E15" s="51"/>
      <c r="G15" s="51"/>
      <c r="H15" s="51"/>
      <c r="I15" s="50"/>
      <c r="Q15" s="51"/>
      <c r="R15" s="51"/>
      <c r="U15" s="76"/>
      <c r="V15" s="76"/>
      <c r="X15" s="123">
        <f>SUM(V14-X14)</f>
        <v>0</v>
      </c>
      <c r="Y15" s="50"/>
      <c r="Z15" s="93"/>
      <c r="AA15" s="50"/>
      <c r="AB15" s="93"/>
    </row>
    <row r="16" spans="2:28" s="75" customFormat="1" ht="18.75">
      <c r="B16" s="51"/>
      <c r="C16" s="85"/>
      <c r="E16" s="90"/>
      <c r="G16" s="51"/>
      <c r="H16" s="51"/>
      <c r="I16" s="77"/>
      <c r="M16" s="78"/>
      <c r="Q16" s="51"/>
      <c r="R16" s="51"/>
      <c r="X16" s="119"/>
      <c r="Y16" s="50"/>
      <c r="Z16" s="93"/>
      <c r="AA16" s="50"/>
      <c r="AB16" s="93"/>
    </row>
    <row r="17" spans="2:28" s="79" customFormat="1" ht="18.75">
      <c r="B17" s="48"/>
      <c r="E17" s="48"/>
      <c r="G17" s="48"/>
      <c r="H17" s="48"/>
      <c r="I17" s="80"/>
      <c r="J17" s="81"/>
      <c r="P17" s="81"/>
      <c r="Q17" s="82"/>
      <c r="R17" s="82"/>
      <c r="S17" s="81"/>
      <c r="T17" s="81"/>
      <c r="X17" s="118"/>
      <c r="Y17" s="81"/>
      <c r="Z17" s="91"/>
      <c r="AA17" s="47"/>
      <c r="AB17" s="91"/>
    </row>
    <row r="18" spans="2:28" s="79" customFormat="1" ht="18.75">
      <c r="B18" s="48"/>
      <c r="E18" s="48"/>
      <c r="G18" s="48"/>
      <c r="H18" s="48"/>
      <c r="I18" s="47"/>
      <c r="Q18" s="48"/>
      <c r="R18" s="48"/>
      <c r="X18" s="118"/>
      <c r="Z18" s="91"/>
      <c r="AA18" s="47"/>
      <c r="AB18" s="91"/>
    </row>
    <row r="19" spans="2:28" s="79" customFormat="1" ht="18.75">
      <c r="B19" s="48"/>
      <c r="E19" s="48"/>
      <c r="G19" s="48"/>
      <c r="H19" s="48"/>
      <c r="I19" s="47"/>
      <c r="Q19" s="48"/>
      <c r="R19" s="48"/>
      <c r="X19" s="118"/>
      <c r="Y19" s="47"/>
      <c r="Z19" s="91"/>
      <c r="AA19" s="47"/>
      <c r="AB19" s="91"/>
    </row>
  </sheetData>
  <sheetProtection/>
  <mergeCells count="1">
    <mergeCell ref="A3:Y3"/>
  </mergeCells>
  <printOptions/>
  <pageMargins left="0.31496062992125984" right="0.31496062992125984" top="0.7480314960629921" bottom="0.7480314960629921" header="0.31496062992125984" footer="0.31496062992125984"/>
  <pageSetup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2022-05-05T14:36:44Z</cp:lastPrinted>
  <dcterms:created xsi:type="dcterms:W3CDTF">2011-06-06T14:53:40Z</dcterms:created>
  <dcterms:modified xsi:type="dcterms:W3CDTF">2022-05-06T11:58:49Z</dcterms:modified>
  <cp:category/>
  <cp:version/>
  <cp:contentType/>
  <cp:contentStatus/>
</cp:coreProperties>
</file>